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bilda\Desktop\"/>
    </mc:Choice>
  </mc:AlternateContent>
  <xr:revisionPtr revIDLastSave="0" documentId="8_{F6FA6F47-6A9A-4D6A-9A46-CB996B47128F}" xr6:coauthVersionLast="47" xr6:coauthVersionMax="47" xr10:uidLastSave="{00000000-0000-0000-0000-000000000000}"/>
  <bookViews>
    <workbookView xWindow="-110" yWindow="-110" windowWidth="19420" windowHeight="10300" xr2:uid="{17A64FC6-0491-4FEF-9F27-BF63A63E156F}"/>
  </bookViews>
  <sheets>
    <sheet name="Wycena" sheetId="1" r:id="rId1"/>
    <sheet name="SKU" sheetId="3" state="hidden" r:id="rId2"/>
    <sheet name="Mapping" sheetId="2" state="hidden" r:id="rId3"/>
  </sheets>
  <externalReferences>
    <externalReference r:id="rId4"/>
  </externalReferences>
  <definedNames>
    <definedName name="_xlnm._FilterDatabase" localSheetId="1" hidden="1">SKU!$A$1:$I$743</definedName>
    <definedName name="Adapter">Mapping!$HS$3:$HS$20</definedName>
    <definedName name="Aplikacja_lista">[1]Kalkulacje!$DE$3:INDEX([1]Kalkulacje!$DE$3:$DE$11,(ROWS([1]Kalkulacje!$DC$3:$DC$11)-COUNTBLANK([1]Kalkulacje!$DC$3:$DC$11)))</definedName>
    <definedName name="DlugoscAntaby">Mapping!$GR$3:INDEX(Mapping!$GR$3:$GR$9,(ROWS(Mapping!$GQ$3:$GQ$9)-COUNTBLANK(Mapping!$GQ$3:$GQ$9)))</definedName>
    <definedName name="Dostawka_lista">[1]Kalkulacje!$CZ$3:INDEX([1]Kalkulacje!$CZ$3:$CZ$6,(ROWS([1]Kalkulacje!$CY$3:$CY$6)-COUNTBLANK([1]Kalkulacje!$CY$3:$CY$6)))</definedName>
    <definedName name="DostawkaL_lista">[1]Kalkulacje!$CF$3:INDEX([1]Kalkulacje!$CF$3:$CF$14,(ROWS([1]Kalkulacje!$CE$3:$CE$14)-COUNTBLANK([1]Kalkulacje!$CE$3:$CE$14)))</definedName>
    <definedName name="DostawkaP_lista">[1]Kalkulacje!$CI$3:INDEX([1]Kalkulacje!$CI$3:$CI$14,(ROWS([1]Kalkulacje!$CH$3:$CH$14)-COUNTBLANK([1]Kalkulacje!$CH$3:$CH$14)))</definedName>
    <definedName name="Dwustronny_lista">[1]Kalkulacje!$CC$3:INDEX([1]Kalkulacje!$CC$3:$CC$4,(ROWS([1]Kalkulacje!$CB$3:$CB$4)-COUNTBLANK([1]Kalkulacje!$CB$3:$CB$4)))</definedName>
    <definedName name="Grubość_lista">[1]Kalkulacje!$I$3:INDEX([1]Kalkulacje!$I$3:$I$4,(ROWS([1]Kalkulacje!$H$3:$H$4)-COUNTBLANK([1]Kalkulacje!$H$3:$H$4)))</definedName>
    <definedName name="Klamki_lista">[1]Kalkulacje!$T$3:INDEX([1]Kalkulacje!$T$3:$T$38,(ROWS([1]Kalkulacje!$S$3:$S$38)-COUNTBLANK([1]Kalkulacje!$S$3:$S$38)))</definedName>
    <definedName name="KolorOkuc_lista">[1]Kalkulacje!$X$3:INDEX([1]Kalkulacje!$X$3:$X$9,(ROWS([1]Kalkulacje!$W$3:$W$9)-COUNTBLANK([1]Kalkulacje!$W$3:$W$9)))</definedName>
    <definedName name="KolorOkucia">Mapping!$GP$3:INDEX(Mapping!$GP$3:$GP$6,(ROWS(Mapping!$GO$3:$GO$6)-COUNTBLANK(Mapping!$GO$3:$GO$6)))</definedName>
    <definedName name="Kopniak_lista">[1]Kalkulacje!$CQ$3:INDEX([1]Kalkulacje!$CQ$3:$CQ$7,(ROWS([1]Kalkulacje!$CO$3:$CO$7)-COUNTBLANK([1]Kalkulacje!$CO$3:$CO$7)))</definedName>
    <definedName name="ListaAplikacja">Mapping!$CU$3:INDEX(Mapping!$CU$3:$CU$11,(ROWS(Mapping!$CT$3:$CT$11)-COUNTBLANK(Mapping!$CT$3:$CT$11)))</definedName>
    <definedName name="ListaDostawki">Mapping!$BS$3:INDEX(Mapping!$BS$3:$BS$8,(ROWS(Mapping!$BR$3:$BR$8)-COUNTBLANK(Mapping!$BR$3:$BR$8)))</definedName>
    <definedName name="ListaGrubosc">Mapping!$AV$3:INDEX(Mapping!$AV$3:$AV$5,(ROWS(Mapping!$AT$3:$AT$5)-COUNTBLANK(Mapping!$AT$3:$AT$5)))</definedName>
    <definedName name="Listagruboscboczna">Mapping!$DM$3:INDEX(Mapping!$DM$3:$DM$28,(ROWS(Mapping!$DL$3:$DL$28)-COUNTBLANK(Mapping!$DL$3:$DL$28)))</definedName>
    <definedName name="Listagruboscgorna">Mapping!$DC$3:INDEX(Mapping!$DC$3:$DC$28,(ROWS(Mapping!$DB$3:$DB$28)-COUNTBLANK(Mapping!$DB$3:$DB$28)))</definedName>
    <definedName name="ListaIloscKolorow">Mapping!$V$3:$V$6</definedName>
    <definedName name="ListaInox">Mapping!$AG$3:INDEX(Mapping!$AG$3:$AG$4,(ROWS(Mapping!$AE$3:$AE$4)-COUNTBLANK(Mapping!$AE$3:$AE$4)))</definedName>
    <definedName name="ListaKamien">Mapping!$AK$3:INDEX(Mapping!$AK$3:$AK$7,(ROWS(Mapping!$AI$3:$AI$7)-COUNTBLANK(Mapping!$AI$3:$AI$7)))</definedName>
    <definedName name="ListaKierunek">Mapping!$BM$3:INDEX(Mapping!$BM$3:$BM$6,(ROWS(Mapping!$BL$3:$BL$6)-COUNTBLANK(Mapping!$BL$3:$BL$6)))</definedName>
    <definedName name="ListaKolor">Mapping!$AC$3:INDEX(Mapping!$AC$3:$AC$229,(ROWS(Mapping!$AB$3:$AB$229)-COUNTBLANK(Mapping!$AB$3:$AB$229)))</definedName>
    <definedName name="ListaModele">Mapping!$A$3:$A$168</definedName>
    <definedName name="ListaNaswietle">Mapping!$BZ$3:INDEX(Mapping!$BZ$3:$BZ$6,(ROWS(Mapping!$BY$3:$BY$6)-COUNTBLANK(Mapping!$BY$3:$BY$6)))</definedName>
    <definedName name="Listaopaskawew">Mapping!$DY$3:$DY$4</definedName>
    <definedName name="Listaopaskazew">Mapping!$EE$3:INDEX(Mapping!$EE$3:$EE$4,(ROWS(Mapping!$ED$3:$ED$4)-COUNTBLANK(Mapping!$ED$3:$ED$4)))</definedName>
    <definedName name="Listaoscieznicaszerokosc">Mapping!$DU$3:INDEX(Mapping!$DU$3:$DU$28,(ROWS(Mapping!$DT$3:$DT$28)-COUNTBLANK(Mapping!$DT$3:$DT$28)))</definedName>
    <definedName name="ListaP4">Mapping!$HK$3:INDEX(Mapping!$HK$3:$HK$13,(ROWS(Mapping!$HJ$3:$HJ$13)-COUNTBLANK(Mapping!$HJ$3:$HJ$13)))</definedName>
    <definedName name="Listapolaodzamka">Mapping!$FS$3:INDEX(Mapping!$FS$3:$FS$23,(ROWS(Mapping!$FR$3:$FR$23)-COUNTBLANK(Mapping!$FR$3:$FR$23)))</definedName>
    <definedName name="Listapolaodzawias">Mapping!$FQ$3:INDEX(Mapping!$FQ$3:$FQ$23,(ROWS(Mapping!$FP$3:$FP$23)-COUNTBLANK(Mapping!$FP$3:$FP$23)))</definedName>
    <definedName name="ListaPrzylgowosc">Mapping!$AP$3:INDEX(Mapping!$AP$3:$AP$5,(ROWS(Mapping!$AN$3:$AN$5)-COUNTBLANK(Mapping!$AN$3:$AN$5)))</definedName>
    <definedName name="ListaRodzajOscieznica">Mapping!$CM$3:INDEX(Mapping!$CM$3:$CM$4,(ROWS(Mapping!$CL$3:$CL$4)-COUNTBLANK(Mapping!$CL$3:$CL$4)))</definedName>
    <definedName name="Listaskrzydloszerokosc">Mapping!$EQ$3:INDEX(Mapping!$EQ$3:$EQ$8,(ROWS(Mapping!$EP$3:$EP$8)-COUNTBLANK(Mapping!$EP$3:$EP$8)))</definedName>
    <definedName name="Listaskrzydlowysokosc">Mapping!$EW$3:INDEX(Mapping!$EW$3:$EW$8,(ROWS(Mapping!$EV$3:$EV$8)-COUNTBLANK(Mapping!$EV$3:$EV$8)))</definedName>
    <definedName name="ListaSzerokosc">Mapping!$AX$3:$AX$230</definedName>
    <definedName name="ListaSzklenie">Mapping!$O$3:INDEX(Mapping!$O$3:$O$10,(ROWS(Mapping!$M$3:$M$10)-COUNTBLANK(Mapping!$M$3:$M$10)))</definedName>
    <definedName name="Listaszkleniedostawaodzawias">Mapping!$FI$3:INDEX(Mapping!$FI$3:$FI$14,(ROWS(Mapping!$FH$3:$FH$14)-COUNTBLANK(Mapping!$FH$3:$FH$14)))</definedName>
    <definedName name="Listaszkleniedostawkaodzamka">Mapping!$FL$3:INDEX(Mapping!$FL$3:$FL$14,(ROWS(Mapping!$FK$3:$FK$14)-COUNTBLANK(Mapping!$FK$3:$FK$14)))</definedName>
    <definedName name="ListaWykonczenie">Mapping!$T$3:INDEX(Mapping!$T$3:$T$8,(ROWS(Mapping!$S$3:$S$8)-COUNTBLANK(Mapping!$S$3:$S$8)))</definedName>
    <definedName name="ListaWysokosc">Mapping!$BD$3:$BD$172</definedName>
    <definedName name="Listwa_lista">[1]Kalkulacje!$BC$3:INDEX([1]Kalkulacje!$BC$3:$BC$15,(ROWS([1]Kalkulacje!$BB$3:$BB$15)-COUNTBLANK([1]Kalkulacje!$BB$3:$BB$15)))</definedName>
    <definedName name="Listwazaczepowa">Mapping!$HD$3:INDEX(Mapping!$HD$3:$HD$4,(ROWS(Mapping!$HB$3:$HB$4)-COUNTBLANK(Mapping!$HB$3:$HB$4)))</definedName>
    <definedName name="NaswietleS_lista">[1]Kalkulacje!$CM$3:INDEX([1]Kalkulacje!$CM$3:$CM$14,(ROWS([1]Kalkulacje!$CK$3:$CK$14)-COUNTBLANK([1]Kalkulacje!$CK$3:$CK$14)))</definedName>
    <definedName name="NaświetleW_lista">[1]Kalkulacje!$CW$3:INDEX([1]Kalkulacje!$CW$3:$CW$6,(ROWS([1]Kalkulacje!$CV$3:$CV$6)-COUNTBLANK([1]Kalkulacje!$CV$3:$CV$6)))</definedName>
    <definedName name="_xlnm.Print_Area" localSheetId="0">Wycena!$A$1:$H$88</definedName>
    <definedName name="OkapnikKopniak">Mapping!$IC$3:INDEX(Mapping!$IC$3:$IC$9,(ROWS(Mapping!$IB$3:$IB$9)-COUNTBLANK(Mapping!$IB$3:$IB$9)))</definedName>
    <definedName name="OkuciaZew">Mapping!$GL$3:INDEX(Mapping!$GL$3:$GL$33,(ROWS(Mapping!$GJ$3:$GJ$33)-COUNTBLANK(Mapping!$GJ$3:$GJ$33)))</definedName>
    <definedName name="OpcjaApl_lista">[1]Kalkulacje!$DH$3:INDEX([1]Kalkulacje!$DH$3:$DH$6,(ROWS([1]Kalkulacje!$DG$3:$DG$6)-COUNTBLANK([1]Kalkulacje!$DG$3:$DG$6)))</definedName>
    <definedName name="OpcjeKol_lista">[1]Kalkulacje!$DN$3:INDEX([1]Kalkulacje!$DN$3:$DN$6,(ROWS([1]Kalkulacje!$DM$3:$DM$6)-COUNTBLANK([1]Kalkulacje!$DM$3:$DM$6)))</definedName>
    <definedName name="Oscieznica_lista">[1]Kalkulacje!$BM$3:INDEX([1]Kalkulacje!$BM$3:$BM$4,(ROWS([1]Kalkulacje!$BL$3:$BL$4)-COUNTBLANK([1]Kalkulacje!$BL$3:$BL$4)))</definedName>
    <definedName name="P4_dostawki">[1]Kalkulacje!$BT$3:INDEX([1]Kalkulacje!$BT$3:$BT$4,(ROWS([1]Kalkulacje!$BS$3:$BS$4)-COUNTBLANK([1]Kalkulacje!$BS$3:$BS$4)))</definedName>
    <definedName name="P4_nadswietla">[1]Kalkulacje!$BW$3:INDEX([1]Kalkulacje!$BW$3:$BW$4,(ROWS([1]Kalkulacje!$BV$3:$BV$4)-COUNTBLANK([1]Kalkulacje!$BV$3:$BV$4)))</definedName>
    <definedName name="P4_skrzydlo">[1]Kalkulacje!$BQ$3:INDEX([1]Kalkulacje!$BQ$3:$BQ$4,(ROWS([1]Kalkulacje!$BP$3:$BP$4)-COUNTBLANK([1]Kalkulacje!$BP$3:$BP$4)))</definedName>
    <definedName name="PiaskowanyN_lista">[1]Kalkulacje!$CT$3:INDEX([1]Kalkulacje!$CT$3:$CT$6,(ROWS([1]Kalkulacje!$CS$3:$CS$6)-COUNTBLANK([1]Kalkulacje!$CS$3:$CS$6)))</definedName>
    <definedName name="Polanaswietle">Mapping!$FU$3:INDEX(Mapping!$FU$3:$FU$23,(ROWS(Mapping!$FT$3:$FT$23)-COUNTBLANK(Mapping!$FT$3:$FT$23)))</definedName>
    <definedName name="Prog_lista">[1]Kalkulacje!$DK$3:INDEX([1]Kalkulacje!$DK$3:$DK$5,(ROWS([1]Kalkulacje!$DJ$3:$DJ$5)-COUNTBLANK([1]Kalkulacje!$DJ$3:$DJ$5)))</definedName>
    <definedName name="Progi">Mapping!$HQ$3:INDEX(Mapping!$HQ$3:$HQ$5,(ROWS(Mapping!$HP$3:$HP$5)-COUNTBLANK(Mapping!$HP$3:$HP$5)))</definedName>
    <definedName name="Przylgowosc_lista">[1]Kalkulacje!$BJ$3:INDEX([1]Kalkulacje!$BJ$3:$BJ$5,(ROWS([1]Kalkulacje!$BI$3:$BI$5)-COUNTBLANK([1]Kalkulacje!$BI$3:$BI$5)))</definedName>
    <definedName name="Skrzydlo_lista">[1]Kalkulacje!$AR$3:INDEX([1]Kalkulacje!$AR$3:$AR$7,(ROWS([1]Kalkulacje!$AQ$3:$AQ$7)-COUNTBLANK([1]Kalkulacje!$AQ$3:$AQ$7)))</definedName>
    <definedName name="Szklenie_lista">[1]Kalkulacje!$F$3:INDEX([1]Kalkulacje!$F$3:$F$11,(ROWS([1]Kalkulacje!$D$3:$D$11)-COUNTBLANK([1]Kalkulacje!$D$3:$D$11)))</definedName>
    <definedName name="SzklenieNaswietle">Mapping!$CF$3:INDEX(Mapping!$CF$3:$CF$13,(ROWS(Mapping!$CE$3:$CE$13)-COUNTBLANK(Mapping!$CE$3:$CE$13)))</definedName>
    <definedName name="Uslojenie_lista">[1]Kalkulacje!$AN$3:INDEX([1]Kalkulacje!$AN$3:$AN$4,(ROWS([1]Kalkulacje!$AL$3:$AL$4)-COUNTBLANK([1]Kalkulacje!$AL$3:$AL$4)))</definedName>
    <definedName name="Wkladka">Mapping!$GV$3:INDEX(Mapping!$GV$3:$GV$8,(ROWS(Mapping!$GU$3:$GU$8)-COUNTBLANK(Mapping!$GU$3:$GU$8)))</definedName>
    <definedName name="Wkładki_lista">[1]Kalkulacje!$BG$3:INDEX([1]Kalkulacje!$BG$3:$BG$8,(ROWS([1]Kalkulacje!$BE$3:$BE$8)-COUNTBLANK([1]Kalkulacje!$BE$3:$BE$8)))</definedName>
    <definedName name="Wykonczenie_lista">[1]Kalkulacje!$BZ$3:INDEX([1]Kalkulacje!$BZ$3:$BZ$5,(ROWS([1]Kalkulacje!$BY$3:$BY$5)-COUNTBLANK([1]Kalkulacje!$BY$3:$BY$5)))</definedName>
    <definedName name="wymiarodzamka">Mapping!$DO$3:INDEX(Mapping!$DO$3:$DO$28,(ROWS(Mapping!$DN$3:$DN$28)-COUNTBLANK(Mapping!$DN$3:$DN$28)))</definedName>
    <definedName name="Wysokosc_lista">[1]Kalkulacje!$AV$3:INDEX([1]Kalkulacje!$AV$3:$AV$9,(ROWS([1]Kalkulacje!$AU$3:$AU$9)-COUNTBLANK([1]Kalkulacje!$AU$3:$AU$9)))</definedName>
    <definedName name="Zamek">Mapping!$FZ$3:INDEX(Mapping!$FZ$3:$FZ$10,(ROWS(Mapping!$FY$3:$FY$10)-COUNTBLANK(Mapping!$FY$3:$FY$10)))</definedName>
    <definedName name="Zamek_lista">[1]Kalkulacje!$AG$3:INDEX([1]Kalkulacje!$AG$3:$AG$13,(ROWS([1]Kalkulacje!$AE$3:$AE$13)-COUNTBLANK([1]Kalkulacje!$AE$3:$AE$13)))</definedName>
    <definedName name="Zapadka">Mapping!$HA$3:INDEX(Mapping!$HA$3:$HA$5,(ROWS(Mapping!$GZ$3:$GZ$5)-COUNTBLANK(Mapping!$GZ$3:$GZ$5)))</definedName>
    <definedName name="Zapadka_lista">[1]Kalkulacje!$AC$3:INDEX([1]Kalkulacje!$AC$3:$AC$11,(ROWS([1]Kalkulacje!$AB$3:$AB$11)-COUNTBLANK([1]Kalkulacje!$AB$3:$AB$11)))</definedName>
    <definedName name="Zawiasy_kolor">Mapping!$JF$3:INDEX(Mapping!$JF$3:$JF$4,(ROWS(Mapping!$JD$3:$JD$4)-COUNTBLANK(Mapping!$JD$3:$JD$4)))</definedName>
    <definedName name="Zestawy_lista">[1]Kalkulacje!$O$3:INDEX([1]Kalkulacje!$O$3:$O$9,(ROWS([1]Kalkulacje!$M$3:$M$9)-COUNTBLANK([1]Kalkulacje!$M$3:$M$9)))</definedName>
    <definedName name="Zestawyspecjalne">Mapping!$FW$3:$FW$11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F5" i="1"/>
  <c r="HQ4" i="2" a="1"/>
  <c r="HQ4" i="2" s="1"/>
  <c r="EH5" i="2"/>
  <c r="EH4" i="2"/>
  <c r="EC4" i="2"/>
  <c r="DZ4" i="2"/>
  <c r="AB21" i="2"/>
  <c r="AA9" i="2"/>
  <c r="AB9" i="2" s="1"/>
  <c r="AA21" i="2"/>
  <c r="FZ20" i="2"/>
  <c r="HT20" i="2"/>
  <c r="HT19" i="2"/>
  <c r="HT14" i="2"/>
  <c r="HT12" i="2"/>
  <c r="HT10" i="2"/>
  <c r="GB7" i="2"/>
  <c r="BP6" i="2" l="1"/>
  <c r="BQ6" i="2" s="1"/>
  <c r="BR6" i="2" s="1"/>
  <c r="JD4" i="2" l="1"/>
  <c r="JE4" i="2" s="1"/>
  <c r="FZ19" i="2"/>
  <c r="FZ18" i="2"/>
  <c r="EK5" i="2"/>
  <c r="EK4" i="2"/>
  <c r="HC4" i="2"/>
  <c r="GT8" i="2"/>
  <c r="GT7" i="2"/>
  <c r="GT6" i="2"/>
  <c r="FZ22" i="2"/>
  <c r="FZ21" i="2"/>
  <c r="DI4" i="2"/>
  <c r="DI3" i="2"/>
  <c r="DH4" i="2"/>
  <c r="DH9" i="2" s="1"/>
  <c r="DH3" i="2"/>
  <c r="DJ23" i="2"/>
  <c r="DJ22" i="2"/>
  <c r="DI23" i="2"/>
  <c r="DI22" i="2"/>
  <c r="AA10" i="2"/>
  <c r="AB10" i="2" s="1"/>
  <c r="HH9" i="2"/>
  <c r="HH8" i="2"/>
  <c r="HH7" i="2"/>
  <c r="HH6" i="2"/>
  <c r="HH5" i="2"/>
  <c r="HH4" i="2"/>
  <c r="FY10" i="2"/>
  <c r="FY9" i="2"/>
  <c r="FY8" i="2"/>
  <c r="FY7" i="2"/>
  <c r="FY6" i="2"/>
  <c r="FY4" i="2"/>
  <c r="FY3" i="2"/>
  <c r="FX7" i="2"/>
  <c r="F59" i="1" s="1"/>
  <c r="AO5" i="2"/>
  <c r="AO4" i="2"/>
  <c r="GQ3" i="2"/>
  <c r="GQ4" i="2"/>
  <c r="GQ5" i="2"/>
  <c r="GQ6" i="2"/>
  <c r="GQ7" i="2"/>
  <c r="GQ8" i="2"/>
  <c r="GO3" i="2"/>
  <c r="GC28" i="2"/>
  <c r="GQ9" i="2"/>
  <c r="GD19" i="2"/>
  <c r="GJ19" i="2" s="1"/>
  <c r="JF4" i="2" l="1" a="1"/>
  <c r="JF4" i="2" s="1"/>
  <c r="F15" i="1"/>
  <c r="JF3" i="2" a="1"/>
  <c r="JF3" i="2" s="1"/>
  <c r="JF7" i="2" s="1" a="1"/>
  <c r="JF7" i="2" s="1"/>
  <c r="E29" i="1"/>
  <c r="DH8" i="2"/>
  <c r="AA7" i="2"/>
  <c r="AB7" i="2" s="1"/>
  <c r="AA4" i="2"/>
  <c r="AB4" i="2" s="1"/>
  <c r="AA5" i="2"/>
  <c r="AB5" i="2" s="1"/>
  <c r="AA6" i="2"/>
  <c r="AB6" i="2" s="1"/>
  <c r="AA8" i="2"/>
  <c r="AB8" i="2" s="1"/>
  <c r="AA11" i="2"/>
  <c r="AB11" i="2" s="1"/>
  <c r="AA12" i="2"/>
  <c r="AB12" i="2" s="1"/>
  <c r="AA13" i="2"/>
  <c r="AB13" i="2" s="1"/>
  <c r="AA14" i="2"/>
  <c r="AB14" i="2" s="1"/>
  <c r="AA15" i="2"/>
  <c r="AB15" i="2" s="1"/>
  <c r="AA16" i="2"/>
  <c r="AB16" i="2" s="1"/>
  <c r="AA17" i="2"/>
  <c r="AB17" i="2" s="1"/>
  <c r="AA18" i="2"/>
  <c r="AB18" i="2" s="1"/>
  <c r="AA19" i="2"/>
  <c r="AB19" i="2" s="1"/>
  <c r="AA20" i="2"/>
  <c r="AB20" i="2" s="1"/>
  <c r="AA22" i="2"/>
  <c r="AB22" i="2" s="1"/>
  <c r="AA23" i="2"/>
  <c r="AB23" i="2" s="1"/>
  <c r="AA24" i="2"/>
  <c r="AB24" i="2" s="1"/>
  <c r="AA25" i="2"/>
  <c r="AB25" i="2" s="1"/>
  <c r="AA26" i="2"/>
  <c r="AB26" i="2" s="1"/>
  <c r="AA27" i="2"/>
  <c r="AB27" i="2" s="1"/>
  <c r="AA28" i="2"/>
  <c r="AB28" i="2" s="1"/>
  <c r="AA29" i="2"/>
  <c r="AB29" i="2" s="1"/>
  <c r="AA30" i="2"/>
  <c r="AB30" i="2" s="1"/>
  <c r="AA31" i="2"/>
  <c r="AB31" i="2" s="1"/>
  <c r="AA32" i="2"/>
  <c r="AB32" i="2" s="1"/>
  <c r="AA33" i="2"/>
  <c r="AB33" i="2" s="1"/>
  <c r="AA34" i="2"/>
  <c r="AB34" i="2" s="1"/>
  <c r="AA35" i="2"/>
  <c r="AB35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 s="1"/>
  <c r="AA42" i="2"/>
  <c r="AB42" i="2" s="1"/>
  <c r="AA43" i="2"/>
  <c r="AB43" i="2" s="1"/>
  <c r="AA44" i="2"/>
  <c r="AB44" i="2" s="1"/>
  <c r="AA45" i="2"/>
  <c r="AB45" i="2" s="1"/>
  <c r="AA46" i="2"/>
  <c r="AB46" i="2" s="1"/>
  <c r="AA47" i="2"/>
  <c r="AB47" i="2" s="1"/>
  <c r="AA48" i="2"/>
  <c r="AB48" i="2" s="1"/>
  <c r="AA49" i="2"/>
  <c r="AB49" i="2" s="1"/>
  <c r="AA50" i="2"/>
  <c r="AB50" i="2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A66" i="2"/>
  <c r="AB66" i="2" s="1"/>
  <c r="AA67" i="2"/>
  <c r="AB67" i="2" s="1"/>
  <c r="AA68" i="2"/>
  <c r="AB68" i="2" s="1"/>
  <c r="AA69" i="2"/>
  <c r="AB69" i="2" s="1"/>
  <c r="AA70" i="2"/>
  <c r="AB70" i="2" s="1"/>
  <c r="AA71" i="2"/>
  <c r="AB71" i="2" s="1"/>
  <c r="AA72" i="2"/>
  <c r="AB72" i="2" s="1"/>
  <c r="AA73" i="2"/>
  <c r="AB73" i="2" s="1"/>
  <c r="AA74" i="2"/>
  <c r="AB74" i="2" s="1"/>
  <c r="AA75" i="2"/>
  <c r="AB75" i="2" s="1"/>
  <c r="AA76" i="2"/>
  <c r="AB76" i="2" s="1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A105" i="2"/>
  <c r="AB105" i="2" s="1"/>
  <c r="AA106" i="2"/>
  <c r="AB106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115" i="2"/>
  <c r="AB115" i="2" s="1"/>
  <c r="AA116" i="2"/>
  <c r="AB116" i="2" s="1"/>
  <c r="AA117" i="2"/>
  <c r="AB117" i="2" s="1"/>
  <c r="AA118" i="2"/>
  <c r="AB118" i="2" s="1"/>
  <c r="AA119" i="2"/>
  <c r="AB119" i="2" s="1"/>
  <c r="AA120" i="2"/>
  <c r="AB120" i="2" s="1"/>
  <c r="AA121" i="2"/>
  <c r="AB121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A133" i="2"/>
  <c r="AB133" i="2" s="1"/>
  <c r="AA134" i="2"/>
  <c r="AB134" i="2" s="1"/>
  <c r="AA135" i="2"/>
  <c r="AB135" i="2" s="1"/>
  <c r="AA136" i="2"/>
  <c r="AB136" i="2" s="1"/>
  <c r="AA137" i="2"/>
  <c r="AB137" i="2" s="1"/>
  <c r="AA138" i="2"/>
  <c r="AB138" i="2" s="1"/>
  <c r="AA139" i="2"/>
  <c r="AB139" i="2" s="1"/>
  <c r="AA140" i="2"/>
  <c r="AB140" i="2" s="1"/>
  <c r="AA141" i="2"/>
  <c r="AB141" i="2" s="1"/>
  <c r="AA142" i="2"/>
  <c r="AB142" i="2" s="1"/>
  <c r="AA143" i="2"/>
  <c r="AB143" i="2" s="1"/>
  <c r="AA144" i="2"/>
  <c r="AB144" i="2" s="1"/>
  <c r="AA145" i="2"/>
  <c r="AB145" i="2" s="1"/>
  <c r="AA146" i="2"/>
  <c r="AB146" i="2" s="1"/>
  <c r="AA147" i="2"/>
  <c r="AB147" i="2" s="1"/>
  <c r="AA148" i="2"/>
  <c r="AB148" i="2" s="1"/>
  <c r="AA149" i="2"/>
  <c r="AB149" i="2" s="1"/>
  <c r="AA150" i="2"/>
  <c r="AB150" i="2" s="1"/>
  <c r="AA151" i="2"/>
  <c r="AB151" i="2" s="1"/>
  <c r="AA152" i="2"/>
  <c r="AB152" i="2" s="1"/>
  <c r="AA153" i="2"/>
  <c r="AB153" i="2" s="1"/>
  <c r="AA154" i="2"/>
  <c r="AB154" i="2" s="1"/>
  <c r="AA155" i="2"/>
  <c r="AB155" i="2" s="1"/>
  <c r="AA156" i="2"/>
  <c r="AB156" i="2" s="1"/>
  <c r="AA157" i="2"/>
  <c r="AB157" i="2" s="1"/>
  <c r="AA158" i="2"/>
  <c r="AB158" i="2" s="1"/>
  <c r="AA159" i="2"/>
  <c r="AB159" i="2" s="1"/>
  <c r="AA160" i="2"/>
  <c r="AB160" i="2" s="1"/>
  <c r="AA161" i="2"/>
  <c r="AB161" i="2" s="1"/>
  <c r="AA162" i="2"/>
  <c r="AB162" i="2" s="1"/>
  <c r="AA163" i="2"/>
  <c r="AB163" i="2" s="1"/>
  <c r="AA164" i="2"/>
  <c r="AB164" i="2" s="1"/>
  <c r="AA165" i="2"/>
  <c r="AB165" i="2" s="1"/>
  <c r="AA166" i="2"/>
  <c r="AB166" i="2" s="1"/>
  <c r="AA167" i="2"/>
  <c r="AB167" i="2" s="1"/>
  <c r="AA168" i="2"/>
  <c r="AB168" i="2" s="1"/>
  <c r="AA169" i="2"/>
  <c r="AB169" i="2" s="1"/>
  <c r="AA170" i="2"/>
  <c r="AB170" i="2" s="1"/>
  <c r="AA171" i="2"/>
  <c r="AB171" i="2" s="1"/>
  <c r="AA172" i="2"/>
  <c r="AB172" i="2" s="1"/>
  <c r="AA173" i="2"/>
  <c r="AB173" i="2" s="1"/>
  <c r="AA174" i="2"/>
  <c r="AB174" i="2" s="1"/>
  <c r="AA175" i="2"/>
  <c r="AB175" i="2" s="1"/>
  <c r="AA176" i="2"/>
  <c r="AB176" i="2" s="1"/>
  <c r="AA177" i="2"/>
  <c r="AB177" i="2" s="1"/>
  <c r="AA178" i="2"/>
  <c r="AB178" i="2" s="1"/>
  <c r="AA179" i="2"/>
  <c r="AB179" i="2" s="1"/>
  <c r="AA180" i="2"/>
  <c r="AB180" i="2" s="1"/>
  <c r="AA181" i="2"/>
  <c r="AB181" i="2" s="1"/>
  <c r="AA182" i="2"/>
  <c r="AB182" i="2" s="1"/>
  <c r="AA183" i="2"/>
  <c r="AB183" i="2" s="1"/>
  <c r="AA184" i="2"/>
  <c r="AB184" i="2" s="1"/>
  <c r="AA185" i="2"/>
  <c r="AB185" i="2" s="1"/>
  <c r="AA186" i="2"/>
  <c r="AB186" i="2" s="1"/>
  <c r="AA187" i="2"/>
  <c r="AB187" i="2" s="1"/>
  <c r="AA188" i="2"/>
  <c r="AB188" i="2" s="1"/>
  <c r="AA189" i="2"/>
  <c r="AB189" i="2" s="1"/>
  <c r="AA190" i="2"/>
  <c r="AB190" i="2" s="1"/>
  <c r="AA191" i="2"/>
  <c r="AB191" i="2" s="1"/>
  <c r="AA192" i="2"/>
  <c r="AB192" i="2" s="1"/>
  <c r="AA193" i="2"/>
  <c r="AB193" i="2" s="1"/>
  <c r="AA194" i="2"/>
  <c r="AB194" i="2" s="1"/>
  <c r="AA195" i="2"/>
  <c r="AB195" i="2" s="1"/>
  <c r="AA196" i="2"/>
  <c r="AB196" i="2" s="1"/>
  <c r="AA197" i="2"/>
  <c r="AB197" i="2" s="1"/>
  <c r="AA198" i="2"/>
  <c r="AB198" i="2" s="1"/>
  <c r="AA199" i="2"/>
  <c r="AB199" i="2" s="1"/>
  <c r="AA200" i="2"/>
  <c r="AB200" i="2" s="1"/>
  <c r="AA201" i="2"/>
  <c r="AB201" i="2" s="1"/>
  <c r="AA202" i="2"/>
  <c r="AB202" i="2" s="1"/>
  <c r="AA203" i="2"/>
  <c r="AB203" i="2" s="1"/>
  <c r="AA204" i="2"/>
  <c r="AB204" i="2" s="1"/>
  <c r="AA205" i="2"/>
  <c r="AB205" i="2" s="1"/>
  <c r="AA206" i="2"/>
  <c r="AB206" i="2" s="1"/>
  <c r="AA207" i="2"/>
  <c r="AB207" i="2" s="1"/>
  <c r="AA208" i="2"/>
  <c r="AB208" i="2" s="1"/>
  <c r="AA209" i="2"/>
  <c r="AB209" i="2" s="1"/>
  <c r="AA210" i="2"/>
  <c r="AB210" i="2" s="1"/>
  <c r="AA211" i="2"/>
  <c r="AB211" i="2" s="1"/>
  <c r="AA212" i="2"/>
  <c r="AB212" i="2" s="1"/>
  <c r="AA213" i="2"/>
  <c r="AB213" i="2" s="1"/>
  <c r="AA214" i="2"/>
  <c r="AB214" i="2" s="1"/>
  <c r="AA215" i="2"/>
  <c r="AB215" i="2" s="1"/>
  <c r="AA216" i="2"/>
  <c r="AB216" i="2" s="1"/>
  <c r="AA217" i="2"/>
  <c r="AB217" i="2" s="1"/>
  <c r="AA218" i="2"/>
  <c r="AB218" i="2" s="1"/>
  <c r="AA219" i="2"/>
  <c r="AB219" i="2" s="1"/>
  <c r="AA220" i="2"/>
  <c r="AB220" i="2" s="1"/>
  <c r="AA221" i="2"/>
  <c r="AB221" i="2" s="1"/>
  <c r="AA222" i="2"/>
  <c r="AB222" i="2" s="1"/>
  <c r="AA223" i="2"/>
  <c r="AB223" i="2" s="1"/>
  <c r="AA224" i="2"/>
  <c r="AB224" i="2" s="1"/>
  <c r="AA225" i="2"/>
  <c r="AB225" i="2" s="1"/>
  <c r="AA226" i="2"/>
  <c r="AB226" i="2" s="1"/>
  <c r="AA227" i="2"/>
  <c r="AB227" i="2" s="1"/>
  <c r="AA228" i="2"/>
  <c r="AB228" i="2" s="1"/>
  <c r="AA229" i="2"/>
  <c r="AB229" i="2" s="1"/>
  <c r="AA3" i="2"/>
  <c r="AB3" i="2" s="1"/>
  <c r="AC3" i="2" l="1" a="1"/>
  <c r="AC3" i="2" s="1"/>
  <c r="AC232" i="2" s="1" a="1"/>
  <c r="AC232" i="2" s="1"/>
  <c r="AC10" i="2" a="1"/>
  <c r="AC10" i="2" s="1"/>
  <c r="AC118" i="2" a="1"/>
  <c r="AC118" i="2" s="1"/>
  <c r="AC175" i="2" a="1"/>
  <c r="AC175" i="2" s="1"/>
  <c r="AC26" i="2" a="1"/>
  <c r="AC26" i="2" s="1"/>
  <c r="AC170" i="2" a="1"/>
  <c r="AC170" i="2" s="1"/>
  <c r="AC112" i="2" a="1"/>
  <c r="AC112" i="2" s="1"/>
  <c r="AC16" i="2" a="1"/>
  <c r="AC16" i="2" s="1"/>
  <c r="AC180" i="2" a="1"/>
  <c r="AC180" i="2" s="1"/>
  <c r="AC125" i="2" a="1"/>
  <c r="AC125" i="2" s="1"/>
  <c r="AC67" i="2" a="1"/>
  <c r="AC67" i="2" s="1"/>
  <c r="AC213" i="2" a="1"/>
  <c r="AC213" i="2" s="1"/>
  <c r="AC137" i="2" a="1"/>
  <c r="AC137" i="2" s="1"/>
  <c r="AC79" i="2" a="1"/>
  <c r="AC79" i="2" s="1"/>
  <c r="AC226" i="2" a="1"/>
  <c r="AC226" i="2" s="1"/>
  <c r="AC194" i="2" a="1"/>
  <c r="AC194" i="2" s="1"/>
  <c r="AC166" i="2" a="1"/>
  <c r="AC166" i="2" s="1"/>
  <c r="AC134" i="2" a="1"/>
  <c r="AC134" i="2" s="1"/>
  <c r="AC102" i="2" a="1"/>
  <c r="AC102" i="2" s="1"/>
  <c r="AC70" i="2" a="1"/>
  <c r="AC70" i="2" s="1"/>
  <c r="AC4" i="2" a="1"/>
  <c r="AC4" i="2" s="1"/>
  <c r="AC20" i="2" a="1"/>
  <c r="AC20" i="2" s="1"/>
  <c r="AC36" i="2" a="1"/>
  <c r="AC36" i="2" s="1"/>
  <c r="AC52" i="2" a="1"/>
  <c r="AC52" i="2" s="1"/>
  <c r="AC68" i="2" a="1"/>
  <c r="AC68" i="2" s="1"/>
  <c r="AC84" i="2" a="1"/>
  <c r="AC84" i="2" s="1"/>
  <c r="AC100" i="2" a="1"/>
  <c r="AC100" i="2" s="1"/>
  <c r="AC116" i="2" a="1"/>
  <c r="AC116" i="2" s="1"/>
  <c r="AC132" i="2" a="1"/>
  <c r="AC132" i="2" s="1"/>
  <c r="AC148" i="2" a="1"/>
  <c r="AC148" i="2" s="1"/>
  <c r="AC164" i="2" a="1"/>
  <c r="AC164" i="2" s="1"/>
  <c r="AC179" i="2" a="1"/>
  <c r="AC179" i="2" s="1"/>
  <c r="AC195" i="2" a="1"/>
  <c r="AC195" i="2" s="1"/>
  <c r="AC211" i="2" a="1"/>
  <c r="AC211" i="2" s="1"/>
  <c r="AC227" i="2" a="1"/>
  <c r="AC227" i="2" s="1"/>
  <c r="AC25" i="2" a="1"/>
  <c r="AC25" i="2" s="1"/>
  <c r="AC60" i="2" a="1"/>
  <c r="AC60" i="2" s="1"/>
  <c r="AC18" i="2" a="1"/>
  <c r="AC18" i="2" s="1"/>
  <c r="AC34" i="2" a="1"/>
  <c r="AC34" i="2" s="1"/>
  <c r="AC50" i="2" a="1"/>
  <c r="AC50" i="2" s="1"/>
  <c r="AC66" i="2" a="1"/>
  <c r="AC66" i="2" s="1"/>
  <c r="AC82" i="2" a="1"/>
  <c r="AC82" i="2" s="1"/>
  <c r="AC98" i="2" a="1"/>
  <c r="AC98" i="2" s="1"/>
  <c r="AC114" i="2" a="1"/>
  <c r="AC114" i="2" s="1"/>
  <c r="AC130" i="2" a="1"/>
  <c r="AC130" i="2" s="1"/>
  <c r="AC146" i="2" a="1"/>
  <c r="AC146" i="2" s="1"/>
  <c r="AC162" i="2" a="1"/>
  <c r="AC162" i="2" s="1"/>
  <c r="AC177" i="2" a="1"/>
  <c r="AC177" i="2" s="1"/>
  <c r="AC193" i="2" a="1"/>
  <c r="AC193" i="2" s="1"/>
  <c r="AC209" i="2" a="1"/>
  <c r="AC209" i="2" s="1"/>
  <c r="AC225" i="2" a="1"/>
  <c r="AC225" i="2" s="1"/>
  <c r="AC35" i="2" a="1"/>
  <c r="AC35" i="2" s="1"/>
  <c r="AC63" i="2" a="1"/>
  <c r="AC63" i="2" s="1"/>
  <c r="AC199" i="2" a="1"/>
  <c r="AC199" i="2" s="1"/>
  <c r="AC159" i="2" a="1"/>
  <c r="AC159" i="2" s="1"/>
  <c r="AC127" i="2" a="1"/>
  <c r="AC127" i="2" s="1"/>
  <c r="AC95" i="2" a="1"/>
  <c r="AC95" i="2" s="1"/>
  <c r="AC58" i="2" a="1"/>
  <c r="AC58" i="2" s="1"/>
  <c r="AC212" i="2" a="1"/>
  <c r="AC212" i="2" s="1"/>
  <c r="AC92" i="2" a="1"/>
  <c r="AC92" i="2" s="1"/>
  <c r="AC144" i="2" a="1"/>
  <c r="AC144" i="2" s="1"/>
  <c r="AC223" i="2" a="1"/>
  <c r="AC223" i="2" s="1"/>
  <c r="AC157" i="2" a="1"/>
  <c r="AC157" i="2" s="1"/>
  <c r="AC86" i="2" a="1"/>
  <c r="AC86" i="2" s="1"/>
  <c r="AC229" i="2" a="1"/>
  <c r="AC229" i="2" s="1"/>
  <c r="AC169" i="2" a="1"/>
  <c r="AC169" i="2" s="1"/>
  <c r="AC111" i="2" a="1"/>
  <c r="AC111" i="2" s="1"/>
  <c r="AC38" i="2" a="1"/>
  <c r="AC38" i="2" s="1"/>
  <c r="AC202" i="2" a="1"/>
  <c r="AC202" i="2" s="1"/>
  <c r="AC124" i="2" a="1"/>
  <c r="AC124" i="2" s="1"/>
  <c r="AC64" i="2" a="1"/>
  <c r="AC64" i="2" s="1"/>
  <c r="AC221" i="2" a="1"/>
  <c r="AC221" i="2" s="1"/>
  <c r="AC189" i="2" a="1"/>
  <c r="AC189" i="2" s="1"/>
  <c r="AC160" i="2" a="1"/>
  <c r="AC160" i="2" s="1"/>
  <c r="AC128" i="2" a="1"/>
  <c r="AC128" i="2" s="1"/>
  <c r="AC96" i="2" a="1"/>
  <c r="AC96" i="2" s="1"/>
  <c r="AC61" i="2" a="1"/>
  <c r="AC61" i="2" s="1"/>
  <c r="AC7" i="2" a="1"/>
  <c r="AC7" i="2" s="1"/>
  <c r="AC23" i="2" a="1"/>
  <c r="AC23" i="2" s="1"/>
  <c r="AC39" i="2" a="1"/>
  <c r="AC39" i="2" s="1"/>
  <c r="AC55" i="2" a="1"/>
  <c r="AC55" i="2" s="1"/>
  <c r="AC71" i="2" a="1"/>
  <c r="AC71" i="2" s="1"/>
  <c r="AC87" i="2" a="1"/>
  <c r="AC87" i="2" s="1"/>
  <c r="AC103" i="2" a="1"/>
  <c r="AC103" i="2" s="1"/>
  <c r="AC119" i="2" a="1"/>
  <c r="AC119" i="2" s="1"/>
  <c r="AC135" i="2" a="1"/>
  <c r="AC135" i="2" s="1"/>
  <c r="AC151" i="2" a="1"/>
  <c r="AC151" i="2" s="1"/>
  <c r="AC167" i="2" a="1"/>
  <c r="AC167" i="2" s="1"/>
  <c r="AC184" i="2" a="1"/>
  <c r="AC184" i="2" s="1"/>
  <c r="AC200" i="2" a="1"/>
  <c r="AC200" i="2" s="1"/>
  <c r="AC216" i="2" a="1"/>
  <c r="AC216" i="2" s="1"/>
  <c r="AC9" i="2" a="1"/>
  <c r="AC9" i="2" s="1"/>
  <c r="AC31" i="2" a="1"/>
  <c r="AC31" i="2" s="1"/>
  <c r="AC5" i="2" a="1"/>
  <c r="AC5" i="2" s="1"/>
  <c r="AC21" i="2" a="1"/>
  <c r="AC21" i="2" s="1"/>
  <c r="AC37" i="2" a="1"/>
  <c r="AC37" i="2" s="1"/>
  <c r="AC53" i="2" a="1"/>
  <c r="AC53" i="2" s="1"/>
  <c r="AC69" i="2" a="1"/>
  <c r="AC69" i="2" s="1"/>
  <c r="AC85" i="2" a="1"/>
  <c r="AC85" i="2" s="1"/>
  <c r="AC101" i="2" a="1"/>
  <c r="AC101" i="2" s="1"/>
  <c r="AC117" i="2" a="1"/>
  <c r="AC117" i="2" s="1"/>
  <c r="AC133" i="2" a="1"/>
  <c r="AC133" i="2" s="1"/>
  <c r="AC149" i="2" a="1"/>
  <c r="AC149" i="2" s="1"/>
  <c r="AC165" i="2" a="1"/>
  <c r="AC165" i="2" s="1"/>
  <c r="AC182" i="2" a="1"/>
  <c r="AC182" i="2" s="1"/>
  <c r="AC198" i="2" a="1"/>
  <c r="AC198" i="2" s="1"/>
  <c r="AC214" i="2" a="1"/>
  <c r="AC214" i="2" s="1"/>
  <c r="AC44" i="2" a="1"/>
  <c r="AC44" i="2" s="1"/>
  <c r="AC220" i="2" a="1"/>
  <c r="AC220" i="2" s="1"/>
  <c r="AC188" i="2" a="1"/>
  <c r="AC188" i="2" s="1"/>
  <c r="AC153" i="2" a="1"/>
  <c r="AC153" i="2" s="1"/>
  <c r="AC121" i="2" a="1"/>
  <c r="AC121" i="2" s="1"/>
  <c r="AC89" i="2" a="1"/>
  <c r="AC89" i="2" s="1"/>
  <c r="AC45" i="2" a="1"/>
  <c r="AC45" i="2" s="1"/>
  <c r="AC131" i="2" a="1"/>
  <c r="AC131" i="2" s="1"/>
  <c r="AC80" i="2" a="1"/>
  <c r="AC80" i="2" s="1"/>
  <c r="AC150" i="2" a="1"/>
  <c r="AC150" i="2" s="1"/>
  <c r="AC205" i="2" a="1"/>
  <c r="AC205" i="2" s="1"/>
  <c r="AC173" i="2" a="1"/>
  <c r="AC173" i="2" s="1"/>
  <c r="AC109" i="2" a="1"/>
  <c r="AC109" i="2" s="1"/>
  <c r="AC22" i="2" a="1"/>
  <c r="AC22" i="2" s="1"/>
  <c r="AC33" i="2" a="1"/>
  <c r="AC33" i="2" s="1"/>
  <c r="AC81" i="2" a="1"/>
  <c r="AC81" i="2" s="1"/>
  <c r="AC113" i="2" a="1"/>
  <c r="AC113" i="2" s="1"/>
  <c r="AC145" i="2" a="1"/>
  <c r="AC145" i="2" s="1"/>
  <c r="AC192" i="2" a="1"/>
  <c r="AC192" i="2" s="1"/>
  <c r="AC224" i="2" a="1"/>
  <c r="AC224" i="2" s="1"/>
  <c r="AC51" i="2" a="1"/>
  <c r="AC51" i="2" s="1"/>
  <c r="AC46" i="2" a="1"/>
  <c r="AC46" i="2" s="1"/>
  <c r="AC78" i="2" a="1"/>
  <c r="AC78" i="2" s="1"/>
  <c r="AC110" i="2" a="1"/>
  <c r="AC110" i="2" s="1"/>
  <c r="AC142" i="2" a="1"/>
  <c r="AC142" i="2" s="1"/>
  <c r="AC174" i="2" a="1"/>
  <c r="AC174" i="2" s="1"/>
  <c r="AC206" i="2" a="1"/>
  <c r="AC206" i="2" s="1"/>
  <c r="AC186" i="2" a="1"/>
  <c r="AC186" i="2" s="1"/>
  <c r="AC54" i="2" a="1"/>
  <c r="AC54" i="2" s="1"/>
  <c r="AC105" i="2" a="1"/>
  <c r="AC105" i="2" s="1"/>
  <c r="AC196" i="2" a="1"/>
  <c r="AC196" i="2" s="1"/>
  <c r="AC143" i="2" a="1"/>
  <c r="AC143" i="2" s="1"/>
  <c r="AC73" i="2" a="1"/>
  <c r="AC73" i="2" s="1"/>
  <c r="AC218" i="2" a="1"/>
  <c r="AC218" i="2" s="1"/>
  <c r="AC156" i="2" a="1"/>
  <c r="AC156" i="2" s="1"/>
  <c r="AC99" i="2" a="1"/>
  <c r="AC99" i="2" s="1"/>
  <c r="AC13" i="2" a="1"/>
  <c r="AC13" i="2" s="1"/>
  <c r="AC191" i="2" a="1"/>
  <c r="AC191" i="2" s="1"/>
  <c r="AC106" i="2" a="1"/>
  <c r="AC106" i="2" s="1"/>
  <c r="AC29" i="2" a="1"/>
  <c r="AC29" i="2" s="1"/>
  <c r="AC210" i="2" a="1"/>
  <c r="AC210" i="2" s="1"/>
  <c r="AC178" i="2" a="1"/>
  <c r="AC178" i="2" s="1"/>
  <c r="AC154" i="2" a="1"/>
  <c r="AC154" i="2" s="1"/>
  <c r="AC122" i="2" a="1"/>
  <c r="AC122" i="2" s="1"/>
  <c r="AC90" i="2" a="1"/>
  <c r="AC90" i="2" s="1"/>
  <c r="AC48" i="2" a="1"/>
  <c r="AC48" i="2" s="1"/>
  <c r="AC11" i="2" a="1"/>
  <c r="AC11" i="2" s="1"/>
  <c r="AC27" i="2" a="1"/>
  <c r="AC27" i="2" s="1"/>
  <c r="AC43" i="2" a="1"/>
  <c r="AC43" i="2" s="1"/>
  <c r="AC59" i="2" a="1"/>
  <c r="AC59" i="2" s="1"/>
  <c r="AC75" i="2" a="1"/>
  <c r="AC75" i="2" s="1"/>
  <c r="AC91" i="2" a="1"/>
  <c r="AC91" i="2" s="1"/>
  <c r="AC107" i="2" a="1"/>
  <c r="AC107" i="2" s="1"/>
  <c r="AC123" i="2" a="1"/>
  <c r="AC123" i="2" s="1"/>
  <c r="AC139" i="2" a="1"/>
  <c r="AC139" i="2" s="1"/>
  <c r="AC155" i="2" a="1"/>
  <c r="AC155" i="2" s="1"/>
  <c r="AC171" i="2" a="1"/>
  <c r="AC171" i="2" s="1"/>
  <c r="AC187" i="2" a="1"/>
  <c r="AC187" i="2" s="1"/>
  <c r="AC203" i="2" a="1"/>
  <c r="AC203" i="2" s="1"/>
  <c r="AC219" i="2" a="1"/>
  <c r="AC219" i="2" s="1"/>
  <c r="AC15" i="2" a="1"/>
  <c r="AC15" i="2" s="1"/>
  <c r="AC41" i="2" a="1"/>
  <c r="AC41" i="2" s="1"/>
  <c r="AC8" i="2" a="1"/>
  <c r="AC8" i="2" s="1"/>
  <c r="AC24" i="2" a="1"/>
  <c r="AC24" i="2" s="1"/>
  <c r="AC40" i="2" a="1"/>
  <c r="AC40" i="2" s="1"/>
  <c r="AC56" i="2" a="1"/>
  <c r="AC56" i="2" s="1"/>
  <c r="AC72" i="2" a="1"/>
  <c r="AC72" i="2" s="1"/>
  <c r="AC88" i="2" a="1"/>
  <c r="AC88" i="2" s="1"/>
  <c r="AC104" i="2" a="1"/>
  <c r="AC104" i="2" s="1"/>
  <c r="AC120" i="2" a="1"/>
  <c r="AC120" i="2" s="1"/>
  <c r="AC136" i="2" a="1"/>
  <c r="AC136" i="2" s="1"/>
  <c r="AC152" i="2" a="1"/>
  <c r="AC152" i="2" s="1"/>
  <c r="AC168" i="2" a="1"/>
  <c r="AC168" i="2" s="1"/>
  <c r="AC185" i="2" a="1"/>
  <c r="AC185" i="2" s="1"/>
  <c r="AC201" i="2" a="1"/>
  <c r="AC201" i="2" s="1"/>
  <c r="AC217" i="2" a="1"/>
  <c r="AC217" i="2" s="1"/>
  <c r="AC12" i="2" a="1"/>
  <c r="AC12" i="2" s="1"/>
  <c r="AC47" i="2" a="1"/>
  <c r="AC47" i="2" s="1"/>
  <c r="AC215" i="2" a="1"/>
  <c r="AC215" i="2" s="1"/>
  <c r="AC183" i="2" a="1"/>
  <c r="AC183" i="2" s="1"/>
  <c r="AC147" i="2" a="1"/>
  <c r="AC147" i="2" s="1"/>
  <c r="AC115" i="2" a="1"/>
  <c r="AC115" i="2" s="1"/>
  <c r="AC83" i="2" a="1"/>
  <c r="AC83" i="2" s="1"/>
  <c r="AC32" i="2" a="1"/>
  <c r="AC32" i="2" s="1"/>
  <c r="AC163" i="2" a="1"/>
  <c r="AC163" i="2" s="1"/>
  <c r="AC197" i="2" a="1"/>
  <c r="AC197" i="2" s="1"/>
  <c r="AC74" i="2" a="1"/>
  <c r="AC74" i="2" s="1"/>
  <c r="AC181" i="2" a="1"/>
  <c r="AC181" i="2" s="1"/>
  <c r="AC42" i="2" a="1"/>
  <c r="AC42" i="2" s="1"/>
  <c r="AC207" i="2" a="1"/>
  <c r="AC207" i="2" s="1"/>
  <c r="AC138" i="2" a="1"/>
  <c r="AC138" i="2" s="1"/>
  <c r="AC228" i="2" a="1"/>
  <c r="AC228" i="2" s="1"/>
  <c r="AC93" i="2" a="1"/>
  <c r="AC93" i="2" s="1"/>
  <c r="AC141" i="2" a="1"/>
  <c r="AC141" i="2" s="1"/>
  <c r="AC77" i="2" a="1"/>
  <c r="AC77" i="2" s="1"/>
  <c r="AC17" i="2" a="1"/>
  <c r="AC17" i="2" s="1"/>
  <c r="AC49" i="2" a="1"/>
  <c r="AC49" i="2" s="1"/>
  <c r="AC65" i="2" a="1"/>
  <c r="AC65" i="2" s="1"/>
  <c r="AC97" i="2" a="1"/>
  <c r="AC97" i="2" s="1"/>
  <c r="AC129" i="2" a="1"/>
  <c r="AC129" i="2" s="1"/>
  <c r="AC161" i="2" a="1"/>
  <c r="AC161" i="2" s="1"/>
  <c r="AC176" i="2" a="1"/>
  <c r="AC176" i="2" s="1"/>
  <c r="AC208" i="2" a="1"/>
  <c r="AC208" i="2" s="1"/>
  <c r="AC19" i="2" a="1"/>
  <c r="AC19" i="2" s="1"/>
  <c r="AC14" i="2" a="1"/>
  <c r="AC14" i="2" s="1"/>
  <c r="AC30" i="2" a="1"/>
  <c r="AC30" i="2" s="1"/>
  <c r="AC62" i="2" a="1"/>
  <c r="AC62" i="2" s="1"/>
  <c r="AC94" i="2" a="1"/>
  <c r="AC94" i="2" s="1"/>
  <c r="AC126" i="2" a="1"/>
  <c r="AC126" i="2" s="1"/>
  <c r="AC158" i="2" a="1"/>
  <c r="AC158" i="2" s="1"/>
  <c r="AC190" i="2" a="1"/>
  <c r="AC190" i="2" s="1"/>
  <c r="AC222" i="2" a="1"/>
  <c r="AC222" i="2" s="1"/>
  <c r="AC172" i="2" a="1"/>
  <c r="AC172" i="2" s="1"/>
  <c r="AC6" i="2" a="1"/>
  <c r="AC6" i="2" s="1"/>
  <c r="AC28" i="2" a="1"/>
  <c r="AC28" i="2" s="1"/>
  <c r="AC140" i="2" a="1"/>
  <c r="AC140" i="2" s="1"/>
  <c r="AC57" i="2" a="1"/>
  <c r="AC57" i="2" s="1"/>
  <c r="AC108" i="2" a="1"/>
  <c r="AC108" i="2" s="1"/>
  <c r="AC76" i="2" a="1"/>
  <c r="AC76" i="2" s="1"/>
  <c r="AC204" i="2" a="1"/>
  <c r="AC204" i="2" s="1"/>
  <c r="CE4" i="2"/>
  <c r="FK4" i="2"/>
  <c r="FK5" i="2"/>
  <c r="FH4" i="2"/>
  <c r="G259" i="3"/>
  <c r="G25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2" i="3"/>
  <c r="G253" i="3"/>
  <c r="G254" i="3"/>
  <c r="G255" i="3"/>
  <c r="G256" i="3"/>
  <c r="G257" i="3"/>
  <c r="G258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2" i="3"/>
  <c r="F74" i="1"/>
  <c r="CO51" i="2" l="1"/>
  <c r="CR61" i="2"/>
  <c r="CR60" i="2"/>
  <c r="CR59" i="2"/>
  <c r="CR58" i="2"/>
  <c r="CR57" i="2"/>
  <c r="CR56" i="2"/>
  <c r="CR55" i="2"/>
  <c r="CR54" i="2"/>
  <c r="CS61" i="2"/>
  <c r="CS60" i="2"/>
  <c r="CS59" i="2"/>
  <c r="CS58" i="2"/>
  <c r="CS57" i="2"/>
  <c r="CS56" i="2"/>
  <c r="CS55" i="2"/>
  <c r="CS54" i="2"/>
  <c r="CS49" i="2"/>
  <c r="CS48" i="2"/>
  <c r="CS47" i="2"/>
  <c r="CS46" i="2"/>
  <c r="CS45" i="2"/>
  <c r="CS44" i="2"/>
  <c r="CS43" i="2"/>
  <c r="CS42" i="2"/>
  <c r="CQ49" i="2"/>
  <c r="CQ48" i="2"/>
  <c r="CQ45" i="2"/>
  <c r="CQ44" i="2"/>
  <c r="CQ47" i="2"/>
  <c r="CQ46" i="2"/>
  <c r="CQ43" i="2"/>
  <c r="CQ42" i="2"/>
  <c r="CO39" i="2" s="1"/>
  <c r="CS37" i="2"/>
  <c r="CS36" i="2"/>
  <c r="CS33" i="2"/>
  <c r="CS32" i="2"/>
  <c r="CR37" i="2"/>
  <c r="CR36" i="2"/>
  <c r="CR33" i="2"/>
  <c r="CR32" i="2"/>
  <c r="CQ37" i="2"/>
  <c r="CQ36" i="2"/>
  <c r="CQ35" i="2"/>
  <c r="CQ34" i="2"/>
  <c r="CQ33" i="2"/>
  <c r="CQ32" i="2"/>
  <c r="CQ31" i="2"/>
  <c r="CQ30" i="2"/>
  <c r="CO27" i="2" s="1"/>
  <c r="CP36" i="2"/>
  <c r="CP35" i="2"/>
  <c r="CP31" i="2"/>
  <c r="CP30" i="2"/>
  <c r="CS25" i="2"/>
  <c r="CS24" i="2"/>
  <c r="CS21" i="2"/>
  <c r="CS20" i="2"/>
  <c r="CR25" i="2"/>
  <c r="CR24" i="2"/>
  <c r="CR23" i="2"/>
  <c r="CR22" i="2"/>
  <c r="CR21" i="2"/>
  <c r="CR20" i="2"/>
  <c r="CR19" i="2"/>
  <c r="CR18" i="2"/>
  <c r="CQ25" i="2"/>
  <c r="CQ24" i="2"/>
  <c r="CQ21" i="2"/>
  <c r="CQ20" i="2"/>
  <c r="CP23" i="2"/>
  <c r="CP22" i="2"/>
  <c r="CP19" i="2"/>
  <c r="CP18" i="2"/>
  <c r="CO15" i="2" s="1"/>
  <c r="DI9" i="2" l="1"/>
  <c r="DI8" i="2" l="1"/>
  <c r="DN7" i="2"/>
  <c r="DN12" i="2"/>
  <c r="DN16" i="2"/>
  <c r="DN20" i="2"/>
  <c r="DN24" i="2"/>
  <c r="DN28" i="2"/>
  <c r="DN4" i="2"/>
  <c r="DN9" i="2"/>
  <c r="DN13" i="2"/>
  <c r="DN17" i="2"/>
  <c r="DN21" i="2"/>
  <c r="DN25" i="2"/>
  <c r="DN3" i="2"/>
  <c r="DN5" i="2"/>
  <c r="DN10" i="2"/>
  <c r="DN14" i="2"/>
  <c r="DN18" i="2"/>
  <c r="DN22" i="2"/>
  <c r="DN26" i="2"/>
  <c r="DN6" i="2"/>
  <c r="DN11" i="2"/>
  <c r="DN15" i="2"/>
  <c r="DN19" i="2"/>
  <c r="DN23" i="2"/>
  <c r="DN27" i="2"/>
  <c r="GC29" i="2"/>
  <c r="C45" i="1" l="1"/>
  <c r="C49" i="1"/>
  <c r="F29" i="1"/>
  <c r="F32" i="1"/>
  <c r="F31" i="1"/>
  <c r="HO4" i="2" l="1"/>
  <c r="HU20" i="2"/>
  <c r="F71" i="1" s="1"/>
  <c r="HU19" i="2"/>
  <c r="HU14" i="2"/>
  <c r="HU16" i="2"/>
  <c r="HU10" i="2"/>
  <c r="HU12" i="2"/>
  <c r="HU18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49" i="2"/>
  <c r="H49" i="2"/>
  <c r="I50" i="2"/>
  <c r="H50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0" i="2"/>
  <c r="H20" i="2"/>
  <c r="I21" i="2"/>
  <c r="H21" i="2"/>
  <c r="I22" i="2"/>
  <c r="H22" i="2"/>
  <c r="I19" i="2"/>
  <c r="H19" i="2"/>
  <c r="I18" i="2"/>
  <c r="H18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F38" i="1"/>
  <c r="F37" i="1"/>
  <c r="F9" i="1" l="1"/>
  <c r="F35" i="1"/>
  <c r="E18" i="1" l="1"/>
  <c r="F79" i="1"/>
  <c r="F78" i="1"/>
  <c r="F77" i="1"/>
  <c r="F76" i="1"/>
  <c r="F75" i="1"/>
  <c r="F73" i="1"/>
  <c r="F72" i="1"/>
  <c r="IB9" i="2"/>
  <c r="IB8" i="2"/>
  <c r="IB6" i="2"/>
  <c r="IB5" i="2"/>
  <c r="HJ3" i="2"/>
  <c r="F69" i="1"/>
  <c r="HJ13" i="2"/>
  <c r="HJ12" i="2"/>
  <c r="HJ11" i="2"/>
  <c r="HJ10" i="2"/>
  <c r="HI9" i="2"/>
  <c r="HJ9" i="2" s="1"/>
  <c r="HI8" i="2"/>
  <c r="HJ8" i="2" s="1"/>
  <c r="HI7" i="2"/>
  <c r="HJ7" i="2" s="1"/>
  <c r="HI6" i="2"/>
  <c r="HJ6" i="2" s="1"/>
  <c r="HI5" i="2"/>
  <c r="HJ5" i="2" s="1"/>
  <c r="HI4" i="2"/>
  <c r="HJ4" i="2" s="1"/>
  <c r="HB3" i="2"/>
  <c r="F66" i="1" s="1"/>
  <c r="GX5" i="2"/>
  <c r="F65" i="1" s="1"/>
  <c r="GY5" i="2"/>
  <c r="GZ5" i="2" s="1"/>
  <c r="GY4" i="2"/>
  <c r="GZ4" i="2" s="1"/>
  <c r="GU8" i="2"/>
  <c r="GU7" i="2"/>
  <c r="GU6" i="2"/>
  <c r="GU5" i="2"/>
  <c r="GU4" i="2"/>
  <c r="GO6" i="2"/>
  <c r="GO5" i="2"/>
  <c r="GO4" i="2"/>
  <c r="F61" i="1"/>
  <c r="GH7" i="2"/>
  <c r="F60" i="1"/>
  <c r="FY5" i="2"/>
  <c r="GG21" i="2"/>
  <c r="GJ21" i="2" s="1"/>
  <c r="GG20" i="2"/>
  <c r="GJ20" i="2" s="1"/>
  <c r="GD18" i="2"/>
  <c r="GJ18" i="2" s="1"/>
  <c r="GD17" i="2"/>
  <c r="GJ17" i="2" s="1"/>
  <c r="GD16" i="2"/>
  <c r="GJ16" i="2" s="1"/>
  <c r="GD15" i="2"/>
  <c r="GJ15" i="2" s="1"/>
  <c r="GD14" i="2"/>
  <c r="GJ14" i="2" s="1"/>
  <c r="GD13" i="2"/>
  <c r="GJ13" i="2" s="1"/>
  <c r="GD12" i="2"/>
  <c r="GJ12" i="2" s="1"/>
  <c r="GD11" i="2"/>
  <c r="GJ11" i="2" s="1"/>
  <c r="GD10" i="2"/>
  <c r="GJ10" i="2" s="1"/>
  <c r="GD9" i="2"/>
  <c r="GJ9" i="2" s="1"/>
  <c r="GD8" i="2"/>
  <c r="GJ8" i="2" s="1"/>
  <c r="GD7" i="2"/>
  <c r="GJ7" i="2" s="1"/>
  <c r="GD6" i="2"/>
  <c r="GJ6" i="2" s="1"/>
  <c r="GD5" i="2"/>
  <c r="GJ5" i="2" s="1"/>
  <c r="GD4" i="2"/>
  <c r="GJ4" i="2" s="1"/>
  <c r="GD3" i="2"/>
  <c r="GJ3" i="2" s="1"/>
  <c r="GC33" i="2"/>
  <c r="GD33" i="2" s="1"/>
  <c r="GC32" i="2"/>
  <c r="GD32" i="2" s="1"/>
  <c r="GC31" i="2"/>
  <c r="GD31" i="2" s="1"/>
  <c r="GC30" i="2"/>
  <c r="GD30" i="2" s="1"/>
  <c r="GD29" i="2"/>
  <c r="GJ29" i="2" s="1"/>
  <c r="GD28" i="2"/>
  <c r="GC27" i="2"/>
  <c r="GC26" i="2"/>
  <c r="GE26" i="2" s="1"/>
  <c r="GC23" i="2"/>
  <c r="GC22" i="2"/>
  <c r="GE28" i="2" l="1"/>
  <c r="GF28" i="2" s="1"/>
  <c r="GJ28" i="2" s="1"/>
  <c r="FZ3" i="2" a="1"/>
  <c r="FZ3" i="2" s="1"/>
  <c r="FZ13" i="2" s="1" a="1"/>
  <c r="FZ13" i="2" s="1"/>
  <c r="FZ4" i="2" a="1"/>
  <c r="FZ4" i="2" s="1"/>
  <c r="FZ10" i="2" a="1"/>
  <c r="FZ10" i="2" s="1"/>
  <c r="FZ8" i="2" a="1"/>
  <c r="FZ8" i="2" s="1"/>
  <c r="FZ9" i="2" a="1"/>
  <c r="FZ9" i="2" s="1"/>
  <c r="FZ6" i="2" a="1"/>
  <c r="FZ6" i="2" s="1"/>
  <c r="FZ7" i="2" a="1"/>
  <c r="FZ7" i="2" s="1"/>
  <c r="FZ5" i="2" a="1"/>
  <c r="FZ5" i="2" s="1"/>
  <c r="GR7" i="2" a="1"/>
  <c r="GR7" i="2" s="1"/>
  <c r="GR3" i="2" a="1"/>
  <c r="GR3" i="2" s="1"/>
  <c r="GR9" i="2" a="1"/>
  <c r="GR9" i="2" s="1"/>
  <c r="GR5" i="2" a="1"/>
  <c r="GR5" i="2" s="1"/>
  <c r="GR8" i="2" a="1"/>
  <c r="GR8" i="2" s="1"/>
  <c r="GR4" i="2" a="1"/>
  <c r="GR4" i="2" s="1"/>
  <c r="GR6" i="2" a="1"/>
  <c r="GR6" i="2" s="1"/>
  <c r="GD23" i="2"/>
  <c r="GF23" i="2"/>
  <c r="GE23" i="2"/>
  <c r="GD27" i="2"/>
  <c r="GE27" i="2"/>
  <c r="GF27" i="2"/>
  <c r="GD22" i="2"/>
  <c r="GF22" i="2"/>
  <c r="GE22" i="2"/>
  <c r="GD26" i="2"/>
  <c r="GF26" i="2"/>
  <c r="IC8" i="2" a="1"/>
  <c r="IC8" i="2" s="1"/>
  <c r="IC5" i="2" a="1"/>
  <c r="IC5" i="2" s="1"/>
  <c r="IC7" i="2" a="1"/>
  <c r="IC7" i="2" s="1"/>
  <c r="IC4" i="2" a="1"/>
  <c r="IC4" i="2" s="1"/>
  <c r="IC3" i="2" a="1"/>
  <c r="IC3" i="2" s="1"/>
  <c r="IC12" i="2" s="1" a="1"/>
  <c r="IC12" i="2" s="1"/>
  <c r="IC9" i="2" a="1"/>
  <c r="IC9" i="2" s="1"/>
  <c r="IC6" i="2" a="1"/>
  <c r="IC6" i="2" s="1"/>
  <c r="HQ3" i="2" a="1"/>
  <c r="HQ3" i="2" s="1"/>
  <c r="HQ8" i="2" s="1" a="1"/>
  <c r="HQ8" i="2" s="1"/>
  <c r="HK11" i="2" a="1"/>
  <c r="HK11" i="2" s="1"/>
  <c r="HK3" i="2" a="1"/>
  <c r="HK3" i="2" s="1"/>
  <c r="HK16" i="2" s="1" a="1"/>
  <c r="HK16" i="2" s="1"/>
  <c r="HK7" i="2" a="1"/>
  <c r="HK7" i="2" s="1"/>
  <c r="HK4" i="2" a="1"/>
  <c r="HK4" i="2" s="1"/>
  <c r="HK8" i="2" a="1"/>
  <c r="HK8" i="2" s="1"/>
  <c r="HK12" i="2" a="1"/>
  <c r="HK12" i="2" s="1"/>
  <c r="HK5" i="2" a="1"/>
  <c r="HK5" i="2" s="1"/>
  <c r="HK9" i="2" a="1"/>
  <c r="HK9" i="2" s="1"/>
  <c r="HK13" i="2" a="1"/>
  <c r="HK13" i="2" s="1"/>
  <c r="HD3" i="2" a="1"/>
  <c r="HD3" i="2" s="1"/>
  <c r="HD7" i="2" s="1" a="1"/>
  <c r="HD7" i="2" s="1"/>
  <c r="HK6" i="2" a="1"/>
  <c r="HK6" i="2" s="1"/>
  <c r="HK10" i="2" a="1"/>
  <c r="HK10" i="2" s="1"/>
  <c r="HD4" i="2" a="1"/>
  <c r="HD4" i="2" s="1"/>
  <c r="HA4" i="2" a="1"/>
  <c r="HA4" i="2" s="1"/>
  <c r="HA5" i="2" a="1"/>
  <c r="HA5" i="2" s="1"/>
  <c r="HA3" i="2" a="1"/>
  <c r="HA3" i="2" s="1"/>
  <c r="HA8" i="2" s="1" a="1"/>
  <c r="HA8" i="2" s="1"/>
  <c r="F64" i="1"/>
  <c r="GU3" i="2"/>
  <c r="GP5" i="2" a="1"/>
  <c r="GP5" i="2" s="1"/>
  <c r="GP3" i="2" a="1"/>
  <c r="GP3" i="2" s="1"/>
  <c r="GP9" i="2" s="1" a="1"/>
  <c r="GP9" i="2" s="1"/>
  <c r="GP4" i="2" a="1"/>
  <c r="GP4" i="2" s="1"/>
  <c r="GP6" i="2" a="1"/>
  <c r="GP6" i="2" s="1"/>
  <c r="GF31" i="2"/>
  <c r="GI26" i="2"/>
  <c r="GE30" i="2"/>
  <c r="GI23" i="2"/>
  <c r="GI27" i="2"/>
  <c r="GI31" i="2"/>
  <c r="GE31" i="2"/>
  <c r="GI28" i="2"/>
  <c r="GI32" i="2"/>
  <c r="GI22" i="2"/>
  <c r="GI30" i="2"/>
  <c r="GF30" i="2"/>
  <c r="GI29" i="2"/>
  <c r="GI33" i="2"/>
  <c r="GE32" i="2"/>
  <c r="GF32" i="2"/>
  <c r="GJ32" i="2" s="1"/>
  <c r="GE33" i="2"/>
  <c r="GF33" i="2"/>
  <c r="GJ30" i="2" l="1"/>
  <c r="GJ31" i="2"/>
  <c r="GJ23" i="2"/>
  <c r="GJ27" i="2"/>
  <c r="GJ24" i="2"/>
  <c r="GJ22" i="2"/>
  <c r="GJ26" i="2"/>
  <c r="GJ25" i="2"/>
  <c r="GR12" i="2" a="1"/>
  <c r="GR12" i="2" s="1"/>
  <c r="GV8" i="2" a="1"/>
  <c r="GV8" i="2" s="1"/>
  <c r="GV6" i="2" a="1"/>
  <c r="GV6" i="2" s="1"/>
  <c r="GV3" i="2" a="1"/>
  <c r="GV3" i="2" s="1"/>
  <c r="GV11" i="2" s="1" a="1"/>
  <c r="GV11" i="2" s="1"/>
  <c r="GV4" i="2" a="1"/>
  <c r="GV4" i="2" s="1"/>
  <c r="GV7" i="2" a="1"/>
  <c r="GV7" i="2" s="1"/>
  <c r="GV5" i="2" a="1"/>
  <c r="GV5" i="2" s="1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4" i="2"/>
  <c r="CD13" i="2"/>
  <c r="CE13" i="2" s="1"/>
  <c r="CD12" i="2"/>
  <c r="CE12" i="2" s="1"/>
  <c r="CD11" i="2"/>
  <c r="CE11" i="2" s="1"/>
  <c r="CD10" i="2"/>
  <c r="CE10" i="2" s="1"/>
  <c r="CE9" i="2"/>
  <c r="CE8" i="2"/>
  <c r="CE7" i="2"/>
  <c r="CE6" i="2"/>
  <c r="CE5" i="2"/>
  <c r="CE3" i="2"/>
  <c r="GR13" i="2" l="1"/>
  <c r="GR15" i="2"/>
  <c r="GR17" i="2"/>
  <c r="GR18" i="2"/>
  <c r="GR14" i="2"/>
  <c r="GR16" i="2"/>
  <c r="CF10" i="2" a="1"/>
  <c r="CF10" i="2" s="1"/>
  <c r="CF6" i="2" a="1"/>
  <c r="CF6" i="2" s="1"/>
  <c r="CF13" i="2" a="1"/>
  <c r="CF13" i="2" s="1"/>
  <c r="CF9" i="2" a="1"/>
  <c r="CF9" i="2" s="1"/>
  <c r="CF5" i="2" a="1"/>
  <c r="CF5" i="2" s="1"/>
  <c r="CF12" i="2" a="1"/>
  <c r="CF12" i="2" s="1"/>
  <c r="CF8" i="2" a="1"/>
  <c r="CF8" i="2" s="1"/>
  <c r="CF4" i="2" a="1"/>
  <c r="CF4" i="2" s="1"/>
  <c r="CF11" i="2" a="1"/>
  <c r="CF11" i="2" s="1"/>
  <c r="CF7" i="2" a="1"/>
  <c r="CF7" i="2" s="1"/>
  <c r="GL21" i="2" a="1"/>
  <c r="GL21" i="2" s="1"/>
  <c r="GL5" i="2" a="1"/>
  <c r="GL5" i="2" s="1"/>
  <c r="GL24" i="2" a="1"/>
  <c r="GL24" i="2" s="1"/>
  <c r="GL26" i="2" a="1"/>
  <c r="GL26" i="2" s="1"/>
  <c r="GL12" i="2" a="1"/>
  <c r="GL12" i="2" s="1"/>
  <c r="GL29" i="2" a="1"/>
  <c r="GL29" i="2" s="1"/>
  <c r="GL32" i="2" a="1"/>
  <c r="GL32" i="2" s="1"/>
  <c r="GL16" i="2" a="1"/>
  <c r="GL16" i="2" s="1"/>
  <c r="GL22" i="2" a="1"/>
  <c r="GL22" i="2" s="1"/>
  <c r="GL7" i="2" a="1"/>
  <c r="GL7" i="2" s="1"/>
  <c r="GL18" i="2" a="1"/>
  <c r="GL18" i="2" s="1"/>
  <c r="GL27" i="2" a="1"/>
  <c r="GL27" i="2" s="1"/>
  <c r="GL23" i="2" a="1"/>
  <c r="GL23" i="2" s="1"/>
  <c r="GL20" i="2" a="1"/>
  <c r="GL20" i="2" s="1"/>
  <c r="GL30" i="2" a="1"/>
  <c r="GL30" i="2" s="1"/>
  <c r="GL3" i="2" a="1"/>
  <c r="GL3" i="2" s="1"/>
  <c r="GL36" i="2" s="1" a="1"/>
  <c r="GL36" i="2" s="1"/>
  <c r="GL15" i="2" a="1"/>
  <c r="GL15" i="2" s="1"/>
  <c r="GL8" i="2" a="1"/>
  <c r="GL8" i="2" s="1"/>
  <c r="GL19" i="2" a="1"/>
  <c r="GL19" i="2" s="1"/>
  <c r="GL33" i="2" a="1"/>
  <c r="GL33" i="2" s="1"/>
  <c r="GL25" i="2" a="1"/>
  <c r="GL25" i="2" s="1"/>
  <c r="GL10" i="2" a="1"/>
  <c r="GL10" i="2" s="1"/>
  <c r="GL9" i="2" a="1"/>
  <c r="GL9" i="2" s="1"/>
  <c r="GL11" i="2" a="1"/>
  <c r="GL11" i="2" s="1"/>
  <c r="GL17" i="2" a="1"/>
  <c r="GL17" i="2" s="1"/>
  <c r="GL6" i="2" a="1"/>
  <c r="GL6" i="2" s="1"/>
  <c r="GL31" i="2" a="1"/>
  <c r="GL31" i="2" s="1"/>
  <c r="GL14" i="2" a="1"/>
  <c r="GL14" i="2" s="1"/>
  <c r="GL13" i="2" a="1"/>
  <c r="GL13" i="2" s="1"/>
  <c r="GL28" i="2" a="1"/>
  <c r="GL28" i="2" s="1"/>
  <c r="GL4" i="2" a="1"/>
  <c r="GL4" i="2" s="1"/>
  <c r="FU6" i="2" a="1"/>
  <c r="FU6" i="2" s="1"/>
  <c r="FU4" i="2" a="1"/>
  <c r="FU4" i="2" s="1"/>
  <c r="FU5" i="2" a="1"/>
  <c r="FU5" i="2" s="1"/>
  <c r="FU20" i="2" a="1"/>
  <c r="FU20" i="2" s="1"/>
  <c r="FU7" i="2" a="1"/>
  <c r="FU7" i="2" s="1"/>
  <c r="FU14" i="2" a="1"/>
  <c r="FU14" i="2" s="1"/>
  <c r="FU3" i="2" a="1"/>
  <c r="FU3" i="2" s="1"/>
  <c r="FU26" i="2" s="1" a="1"/>
  <c r="FU26" i="2" s="1"/>
  <c r="FU19" i="2" a="1"/>
  <c r="FU19" i="2" s="1"/>
  <c r="FU16" i="2" a="1"/>
  <c r="FU16" i="2" s="1"/>
  <c r="FU11" i="2" a="1"/>
  <c r="FU11" i="2" s="1"/>
  <c r="FU8" i="2" a="1"/>
  <c r="FU8" i="2" s="1"/>
  <c r="FU23" i="2" a="1"/>
  <c r="FU23" i="2" s="1"/>
  <c r="FU15" i="2" a="1"/>
  <c r="FU15" i="2" s="1"/>
  <c r="FU12" i="2" a="1"/>
  <c r="FU12" i="2" s="1"/>
  <c r="FU22" i="2" a="1"/>
  <c r="FU22" i="2" s="1"/>
  <c r="FU17" i="2" a="1"/>
  <c r="FU17" i="2" s="1"/>
  <c r="FU9" i="2" a="1"/>
  <c r="FU9" i="2" s="1"/>
  <c r="FU21" i="2" a="1"/>
  <c r="FU21" i="2" s="1"/>
  <c r="FU18" i="2" a="1"/>
  <c r="FU18" i="2" s="1"/>
  <c r="FU13" i="2" a="1"/>
  <c r="FU13" i="2" s="1"/>
  <c r="FU10" i="2" a="1"/>
  <c r="FU10" i="2" s="1"/>
  <c r="CF3" i="2" a="1"/>
  <c r="CF3" i="2" s="1"/>
  <c r="CF16" i="2" s="1" a="1"/>
  <c r="CF16" i="2" s="1"/>
  <c r="E17" i="1" l="1"/>
  <c r="BQ8" i="2" l="1"/>
  <c r="BR8" i="2" s="1"/>
  <c r="BQ7" i="2"/>
  <c r="BR7" i="2" s="1"/>
  <c r="BQ4" i="2"/>
  <c r="BR4" i="2" s="1"/>
  <c r="FA5" i="2" l="1"/>
  <c r="FB5" i="2"/>
  <c r="FB4" i="2"/>
  <c r="FB3" i="2"/>
  <c r="FA4" i="2"/>
  <c r="FA3" i="2"/>
  <c r="FK6" i="2" l="1"/>
  <c r="FK7" i="2"/>
  <c r="FK8" i="2"/>
  <c r="FK9" i="2"/>
  <c r="FR5" i="2"/>
  <c r="FR6" i="2"/>
  <c r="FR7" i="2"/>
  <c r="FR8" i="2"/>
  <c r="FR9" i="2"/>
  <c r="FR10" i="2"/>
  <c r="FR11" i="2"/>
  <c r="FR12" i="2"/>
  <c r="FR13" i="2"/>
  <c r="FR14" i="2"/>
  <c r="FR15" i="2"/>
  <c r="FR16" i="2"/>
  <c r="FR17" i="2"/>
  <c r="FR18" i="2"/>
  <c r="FR19" i="2"/>
  <c r="FR20" i="2"/>
  <c r="FR21" i="2"/>
  <c r="FR22" i="2"/>
  <c r="FR23" i="2"/>
  <c r="FR4" i="2"/>
  <c r="FK3" i="2"/>
  <c r="FJ14" i="2"/>
  <c r="FK14" i="2" s="1"/>
  <c r="FJ13" i="2"/>
  <c r="FK13" i="2" s="1"/>
  <c r="FJ12" i="2"/>
  <c r="FK12" i="2" s="1"/>
  <c r="FJ11" i="2"/>
  <c r="FK11" i="2" s="1"/>
  <c r="FJ10" i="2"/>
  <c r="FK10" i="2" s="1"/>
  <c r="FL14" i="2" l="1" a="1"/>
  <c r="FL14" i="2" s="1"/>
  <c r="FL10" i="2" a="1"/>
  <c r="FL10" i="2" s="1"/>
  <c r="FL6" i="2" a="1"/>
  <c r="FL6" i="2" s="1"/>
  <c r="FL13" i="2" a="1"/>
  <c r="FL13" i="2" s="1"/>
  <c r="FL9" i="2" a="1"/>
  <c r="FL9" i="2" s="1"/>
  <c r="FL5" i="2" a="1"/>
  <c r="FL5" i="2" s="1"/>
  <c r="FL12" i="2" a="1"/>
  <c r="FL12" i="2" s="1"/>
  <c r="FL8" i="2" a="1"/>
  <c r="FL8" i="2" s="1"/>
  <c r="FL4" i="2" a="1"/>
  <c r="FL4" i="2" s="1"/>
  <c r="FL11" i="2" a="1"/>
  <c r="FL11" i="2" s="1"/>
  <c r="FL7" i="2" a="1"/>
  <c r="FL7" i="2" s="1"/>
  <c r="FS11" i="2" a="1"/>
  <c r="FS11" i="2" s="1"/>
  <c r="FS19" i="2" a="1"/>
  <c r="FS19" i="2" s="1"/>
  <c r="FS16" i="2" a="1"/>
  <c r="FS16" i="2" s="1"/>
  <c r="FS8" i="2" a="1"/>
  <c r="FS8" i="2" s="1"/>
  <c r="FS18" i="2" a="1"/>
  <c r="FS18" i="2" s="1"/>
  <c r="FS10" i="2" a="1"/>
  <c r="FS10" i="2" s="1"/>
  <c r="FS23" i="2" a="1"/>
  <c r="FS23" i="2" s="1"/>
  <c r="FS20" i="2" a="1"/>
  <c r="FS20" i="2" s="1"/>
  <c r="FS15" i="2" a="1"/>
  <c r="FS15" i="2" s="1"/>
  <c r="FS12" i="2" a="1"/>
  <c r="FS12" i="2" s="1"/>
  <c r="FS7" i="2" a="1"/>
  <c r="FS7" i="2" s="1"/>
  <c r="FS4" i="2" a="1"/>
  <c r="FS4" i="2" s="1"/>
  <c r="FS3" i="2" a="1"/>
  <c r="FS3" i="2" s="1"/>
  <c r="FS26" i="2" s="1" a="1"/>
  <c r="FS26" i="2" s="1"/>
  <c r="FS21" i="2" a="1"/>
  <c r="FS21" i="2" s="1"/>
  <c r="FS13" i="2" a="1"/>
  <c r="FS13" i="2" s="1"/>
  <c r="FS5" i="2" a="1"/>
  <c r="FS5" i="2" s="1"/>
  <c r="FS22" i="2" a="1"/>
  <c r="FS22" i="2" s="1"/>
  <c r="FS17" i="2" a="1"/>
  <c r="FS17" i="2" s="1"/>
  <c r="FS14" i="2" a="1"/>
  <c r="FS14" i="2" s="1"/>
  <c r="FS9" i="2" a="1"/>
  <c r="FS9" i="2" s="1"/>
  <c r="FS6" i="2" a="1"/>
  <c r="FS6" i="2" s="1"/>
  <c r="FL3" i="2" a="1"/>
  <c r="FL3" i="2" s="1"/>
  <c r="FL17" i="2" s="1" a="1"/>
  <c r="FL17" i="2" s="1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4" i="2"/>
  <c r="FQ8" i="2" l="1" a="1"/>
  <c r="FQ8" i="2" s="1"/>
  <c r="FQ11" i="2" a="1"/>
  <c r="FQ11" i="2" s="1"/>
  <c r="FQ16" i="2" a="1"/>
  <c r="FQ16" i="2" s="1"/>
  <c r="FQ19" i="2" a="1"/>
  <c r="FQ19" i="2" s="1"/>
  <c r="FQ3" i="2" a="1"/>
  <c r="FQ3" i="2" s="1"/>
  <c r="FQ26" i="2" s="1" a="1"/>
  <c r="FQ26" i="2" s="1"/>
  <c r="FQ6" i="2" a="1"/>
  <c r="FQ6" i="2" s="1"/>
  <c r="FQ9" i="2" a="1"/>
  <c r="FQ9" i="2" s="1"/>
  <c r="FQ14" i="2" a="1"/>
  <c r="FQ14" i="2" s="1"/>
  <c r="FQ17" i="2" a="1"/>
  <c r="FQ17" i="2" s="1"/>
  <c r="FQ22" i="2" a="1"/>
  <c r="FQ22" i="2" s="1"/>
  <c r="FQ4" i="2" a="1"/>
  <c r="FQ4" i="2" s="1"/>
  <c r="FQ7" i="2" a="1"/>
  <c r="FQ7" i="2" s="1"/>
  <c r="FQ12" i="2" a="1"/>
  <c r="FQ12" i="2" s="1"/>
  <c r="FQ15" i="2" a="1"/>
  <c r="FQ15" i="2" s="1"/>
  <c r="FQ20" i="2" a="1"/>
  <c r="FQ20" i="2" s="1"/>
  <c r="FQ23" i="2" a="1"/>
  <c r="FQ23" i="2" s="1"/>
  <c r="FQ5" i="2" a="1"/>
  <c r="FQ5" i="2" s="1"/>
  <c r="FQ10" i="2" a="1"/>
  <c r="FQ10" i="2" s="1"/>
  <c r="FQ13" i="2" a="1"/>
  <c r="FQ13" i="2" s="1"/>
  <c r="FQ18" i="2" a="1"/>
  <c r="FQ18" i="2" s="1"/>
  <c r="FQ21" i="2" a="1"/>
  <c r="FQ21" i="2" s="1"/>
  <c r="FH3" i="2"/>
  <c r="FH9" i="2"/>
  <c r="FH8" i="2"/>
  <c r="FH7" i="2"/>
  <c r="FH6" i="2"/>
  <c r="FH5" i="2"/>
  <c r="FG14" i="2"/>
  <c r="FH14" i="2" s="1"/>
  <c r="FG11" i="2" l="1"/>
  <c r="FH11" i="2" s="1"/>
  <c r="FG12" i="2"/>
  <c r="FH12" i="2" s="1"/>
  <c r="FG13" i="2"/>
  <c r="FH13" i="2" s="1"/>
  <c r="FG10" i="2"/>
  <c r="FH10" i="2" s="1"/>
  <c r="FI11" i="2" l="1" a="1"/>
  <c r="FI11" i="2" s="1"/>
  <c r="FI10" i="2" a="1"/>
  <c r="FI10" i="2" s="1"/>
  <c r="FI13" i="2" a="1"/>
  <c r="FI13" i="2" s="1"/>
  <c r="FI6" i="2" a="1"/>
  <c r="FI6" i="2" s="1"/>
  <c r="FI8" i="2" a="1"/>
  <c r="FI8" i="2" s="1"/>
  <c r="FI5" i="2" a="1"/>
  <c r="FI5" i="2" s="1"/>
  <c r="FI4" i="2" a="1"/>
  <c r="FI4" i="2" s="1"/>
  <c r="FI14" i="2" a="1"/>
  <c r="FI14" i="2" s="1"/>
  <c r="FI7" i="2" a="1"/>
  <c r="FI7" i="2" s="1"/>
  <c r="FI9" i="2" a="1"/>
  <c r="FI9" i="2" s="1"/>
  <c r="FI12" i="2" a="1"/>
  <c r="FI12" i="2" s="1"/>
  <c r="FI3" i="2" a="1"/>
  <c r="FI3" i="2" s="1"/>
  <c r="FI17" i="2" s="1" a="1"/>
  <c r="FI17" i="2" s="1"/>
  <c r="F41" i="1" l="1"/>
  <c r="EP8" i="2"/>
  <c r="EP7" i="2"/>
  <c r="EP6" i="2"/>
  <c r="EP5" i="2"/>
  <c r="EP4" i="2"/>
  <c r="ED4" i="2"/>
  <c r="EE3" i="2" s="1" a="1"/>
  <c r="EE3" i="2" s="1"/>
  <c r="EE7" i="2" s="1" a="1"/>
  <c r="EE7" i="2" s="1"/>
  <c r="DY17" i="2"/>
  <c r="F36" i="1"/>
  <c r="DT28" i="2"/>
  <c r="DT4" i="2"/>
  <c r="DT5" i="2"/>
  <c r="DT6" i="2"/>
  <c r="DT7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3" i="2"/>
  <c r="DT8" i="2" s="1"/>
  <c r="CZ8" i="2"/>
  <c r="EE4" i="2" l="1" a="1"/>
  <c r="EE4" i="2" s="1"/>
  <c r="DU6" i="2" a="1"/>
  <c r="DU6" i="2" s="1"/>
  <c r="DU4" i="2" a="1"/>
  <c r="DU4" i="2" s="1"/>
  <c r="DU27" i="2" a="1"/>
  <c r="DU27" i="2" s="1"/>
  <c r="DU26" i="2" a="1"/>
  <c r="DU26" i="2" s="1"/>
  <c r="DU21" i="2" a="1"/>
  <c r="DU21" i="2" s="1"/>
  <c r="DU18" i="2" a="1"/>
  <c r="DU18" i="2" s="1"/>
  <c r="DU13" i="2" a="1"/>
  <c r="DU13" i="2" s="1"/>
  <c r="DU10" i="2" a="1"/>
  <c r="DU10" i="2" s="1"/>
  <c r="DU5" i="2" a="1"/>
  <c r="DU5" i="2" s="1"/>
  <c r="DU28" i="2" a="1"/>
  <c r="DU28" i="2" s="1"/>
  <c r="DU25" i="2" a="1"/>
  <c r="DU25" i="2" s="1"/>
  <c r="DU22" i="2" a="1"/>
  <c r="DU22" i="2" s="1"/>
  <c r="DU17" i="2" a="1"/>
  <c r="DU17" i="2" s="1"/>
  <c r="DU14" i="2" a="1"/>
  <c r="DU14" i="2" s="1"/>
  <c r="DU9" i="2" a="1"/>
  <c r="DU9" i="2" s="1"/>
  <c r="DU24" i="2" a="1"/>
  <c r="DU24" i="2" s="1"/>
  <c r="DU19" i="2" a="1"/>
  <c r="DU19" i="2" s="1"/>
  <c r="DU16" i="2" a="1"/>
  <c r="DU16" i="2" s="1"/>
  <c r="DU11" i="2" a="1"/>
  <c r="DU11" i="2" s="1"/>
  <c r="DU8" i="2" a="1"/>
  <c r="DU8" i="2" s="1"/>
  <c r="DU3" i="2" a="1"/>
  <c r="DU3" i="2" s="1"/>
  <c r="DU31" i="2" s="1" a="1"/>
  <c r="DU31" i="2" s="1"/>
  <c r="DU23" i="2" a="1"/>
  <c r="DU23" i="2" s="1"/>
  <c r="DU20" i="2" a="1"/>
  <c r="DU20" i="2" s="1"/>
  <c r="DU15" i="2" a="1"/>
  <c r="DU15" i="2" s="1"/>
  <c r="DU12" i="2" a="1"/>
  <c r="DU12" i="2" s="1"/>
  <c r="DU7" i="2" a="1"/>
  <c r="DU7" i="2" s="1"/>
  <c r="CP11" i="2" l="1"/>
  <c r="CP10" i="2"/>
  <c r="CP6" i="2"/>
  <c r="CP7" i="2"/>
  <c r="F25" i="1"/>
  <c r="CQ5" i="2" l="1"/>
  <c r="CR5" i="2" s="1"/>
  <c r="CQ6" i="2"/>
  <c r="CR6" i="2" s="1"/>
  <c r="CS6" i="2" s="1"/>
  <c r="CQ7" i="2"/>
  <c r="CR7" i="2" s="1"/>
  <c r="CS7" i="2" s="1"/>
  <c r="CQ8" i="2"/>
  <c r="CR8" i="2" s="1"/>
  <c r="CQ9" i="2"/>
  <c r="CR9" i="2" s="1"/>
  <c r="CQ10" i="2"/>
  <c r="CR10" i="2" s="1"/>
  <c r="CS10" i="2" s="1"/>
  <c r="CT10" i="2" s="1"/>
  <c r="CQ11" i="2"/>
  <c r="CR11" i="2" s="1"/>
  <c r="CS11" i="2" s="1"/>
  <c r="CT11" i="2" s="1"/>
  <c r="CQ4" i="2"/>
  <c r="CR4" i="2" s="1"/>
  <c r="E30" i="1"/>
  <c r="CZ3" i="2"/>
  <c r="CL4" i="2"/>
  <c r="CM4" i="2" s="1" a="1"/>
  <c r="CM4" i="2" s="1"/>
  <c r="C54" i="1" l="1"/>
  <c r="ET3" i="2"/>
  <c r="DB28" i="2"/>
  <c r="DB24" i="2"/>
  <c r="DB20" i="2"/>
  <c r="DB16" i="2"/>
  <c r="DB12" i="2"/>
  <c r="DB4" i="2"/>
  <c r="E27" i="1"/>
  <c r="DB21" i="2"/>
  <c r="DB9" i="2"/>
  <c r="DB27" i="2"/>
  <c r="DB23" i="2"/>
  <c r="DB19" i="2"/>
  <c r="DB15" i="2"/>
  <c r="DB11" i="2"/>
  <c r="DB7" i="2"/>
  <c r="DB3" i="2"/>
  <c r="DB25" i="2"/>
  <c r="DB13" i="2"/>
  <c r="DB26" i="2"/>
  <c r="DB22" i="2"/>
  <c r="DB18" i="2"/>
  <c r="DB14" i="2"/>
  <c r="DB10" i="2"/>
  <c r="DB6" i="2"/>
  <c r="DB17" i="2"/>
  <c r="DB5" i="2"/>
  <c r="DL6" i="2"/>
  <c r="DL10" i="2"/>
  <c r="DL14" i="2"/>
  <c r="DL18" i="2"/>
  <c r="DL22" i="2"/>
  <c r="DL26" i="2"/>
  <c r="DL7" i="2"/>
  <c r="DL11" i="2"/>
  <c r="DL15" i="2"/>
  <c r="DL19" i="2"/>
  <c r="DL23" i="2"/>
  <c r="DL27" i="2"/>
  <c r="DL25" i="2"/>
  <c r="DL4" i="2"/>
  <c r="DL12" i="2"/>
  <c r="DL16" i="2"/>
  <c r="DL20" i="2"/>
  <c r="DL24" i="2"/>
  <c r="DL28" i="2"/>
  <c r="DL5" i="2"/>
  <c r="DL9" i="2"/>
  <c r="DL13" i="2"/>
  <c r="DL17" i="2"/>
  <c r="DL21" i="2"/>
  <c r="DL3" i="2"/>
  <c r="E28" i="1"/>
  <c r="CM3" i="2" a="1"/>
  <c r="CM3" i="2" s="1"/>
  <c r="CM7" i="2" s="1" a="1"/>
  <c r="CM7" i="2" s="1"/>
  <c r="CC6" i="2" l="1"/>
  <c r="BV5" i="2"/>
  <c r="BV6" i="2"/>
  <c r="BV4" i="2"/>
  <c r="CC11" i="2"/>
  <c r="E55" i="1"/>
  <c r="F56" i="1" s="1"/>
  <c r="CC12" i="2"/>
  <c r="CC8" i="2"/>
  <c r="CC5" i="2"/>
  <c r="CC9" i="2"/>
  <c r="CC7" i="2"/>
  <c r="CC4" i="2"/>
  <c r="CC3" i="2"/>
  <c r="CC10" i="2"/>
  <c r="DN8" i="2"/>
  <c r="IA5" i="2"/>
  <c r="DL8" i="2"/>
  <c r="DM12" i="2" s="1" a="1"/>
  <c r="DM12" i="2" s="1"/>
  <c r="DB8" i="2"/>
  <c r="DC19" i="2" s="1" a="1"/>
  <c r="DC19" i="2" s="1"/>
  <c r="E50" i="1"/>
  <c r="F51" i="1" s="1"/>
  <c r="EP3" i="2"/>
  <c r="F28" i="1"/>
  <c r="EV3" i="2"/>
  <c r="F27" i="1"/>
  <c r="EV8" i="2"/>
  <c r="EV5" i="2"/>
  <c r="EV4" i="2"/>
  <c r="EV7" i="2"/>
  <c r="EV6" i="2"/>
  <c r="F26" i="1"/>
  <c r="CS5" i="2"/>
  <c r="CT5" i="2" s="1"/>
  <c r="CT6" i="2"/>
  <c r="CT7" i="2"/>
  <c r="CS8" i="2"/>
  <c r="CT8" i="2" s="1"/>
  <c r="CS9" i="2"/>
  <c r="CT9" i="2" s="1"/>
  <c r="CS4" i="2"/>
  <c r="CT4" i="2" s="1"/>
  <c r="DM3" i="2" l="1" a="1"/>
  <c r="DM3" i="2" s="1"/>
  <c r="DM31" i="2" s="1" a="1"/>
  <c r="DM31" i="2" s="1"/>
  <c r="DO19" i="2" a="1"/>
  <c r="DO19" i="2" s="1"/>
  <c r="DO9" i="2" a="1"/>
  <c r="DO9" i="2" s="1"/>
  <c r="DO25" i="2" a="1"/>
  <c r="DO25" i="2" s="1"/>
  <c r="DO26" i="2" a="1"/>
  <c r="DO26" i="2" s="1"/>
  <c r="DO15" i="2" a="1"/>
  <c r="DO15" i="2" s="1"/>
  <c r="DO5" i="2" a="1"/>
  <c r="DO5" i="2" s="1"/>
  <c r="DO22" i="2" a="1"/>
  <c r="DO22" i="2" s="1"/>
  <c r="DO3" i="2" a="1"/>
  <c r="DO3" i="2" s="1"/>
  <c r="DO8" i="2" a="1"/>
  <c r="DO8" i="2" s="1"/>
  <c r="DO24" i="2" a="1"/>
  <c r="DO24" i="2" s="1"/>
  <c r="DO14" i="2" a="1"/>
  <c r="DO14" i="2" s="1"/>
  <c r="DO28" i="2" a="1"/>
  <c r="DO28" i="2" s="1"/>
  <c r="DO4" i="2" a="1"/>
  <c r="DO4" i="2" s="1"/>
  <c r="DO20" i="2" a="1"/>
  <c r="DO20" i="2" s="1"/>
  <c r="DO13" i="2" a="1"/>
  <c r="DO13" i="2" s="1"/>
  <c r="DO16" i="2" a="1"/>
  <c r="DO16" i="2" s="1"/>
  <c r="DO12" i="2" a="1"/>
  <c r="DO12" i="2" s="1"/>
  <c r="DO11" i="2" a="1"/>
  <c r="DO11" i="2" s="1"/>
  <c r="DO27" i="2" a="1"/>
  <c r="DO27" i="2" s="1"/>
  <c r="DO17" i="2" a="1"/>
  <c r="DO17" i="2" s="1"/>
  <c r="DO10" i="2" a="1"/>
  <c r="DO10" i="2" s="1"/>
  <c r="DO7" i="2" a="1"/>
  <c r="DO7" i="2" s="1"/>
  <c r="DO23" i="2" a="1"/>
  <c r="DO23" i="2" s="1"/>
  <c r="DO21" i="2" a="1"/>
  <c r="DO21" i="2" s="1"/>
  <c r="DO6" i="2" a="1"/>
  <c r="DO6" i="2" s="1"/>
  <c r="DO18" i="2" a="1"/>
  <c r="DO18" i="2" s="1"/>
  <c r="DC9" i="2" a="1"/>
  <c r="DC9" i="2" s="1"/>
  <c r="DC5" i="2" a="1"/>
  <c r="DC5" i="2" s="1"/>
  <c r="DC28" i="2" a="1"/>
  <c r="DC28" i="2" s="1"/>
  <c r="DC10" i="2" a="1"/>
  <c r="DC10" i="2" s="1"/>
  <c r="DC11" i="2" a="1"/>
  <c r="DC11" i="2" s="1"/>
  <c r="DC22" i="2" a="1"/>
  <c r="DC22" i="2" s="1"/>
  <c r="DC15" i="2" a="1"/>
  <c r="DC15" i="2" s="1"/>
  <c r="DC7" i="2" a="1"/>
  <c r="DC7" i="2" s="1"/>
  <c r="DC26" i="2" a="1"/>
  <c r="DC26" i="2" s="1"/>
  <c r="DM25" i="2" a="1"/>
  <c r="DM25" i="2" s="1"/>
  <c r="DM9" i="2" a="1"/>
  <c r="DM9" i="2" s="1"/>
  <c r="DC8" i="2" a="1"/>
  <c r="DC8" i="2" s="1"/>
  <c r="DC17" i="2" a="1"/>
  <c r="DC17" i="2" s="1"/>
  <c r="DC24" i="2" a="1"/>
  <c r="DC24" i="2" s="1"/>
  <c r="DC27" i="2" a="1"/>
  <c r="DC27" i="2" s="1"/>
  <c r="DC13" i="2" a="1"/>
  <c r="DC13" i="2" s="1"/>
  <c r="DC21" i="2" a="1"/>
  <c r="DC21" i="2" s="1"/>
  <c r="DC16" i="2" a="1"/>
  <c r="DC16" i="2" s="1"/>
  <c r="DC25" i="2" a="1"/>
  <c r="DC25" i="2" s="1"/>
  <c r="DC18" i="2" a="1"/>
  <c r="DC18" i="2" s="1"/>
  <c r="DC14" i="2" a="1"/>
  <c r="DC14" i="2" s="1"/>
  <c r="DC3" i="2" a="1"/>
  <c r="DC3" i="2" s="1"/>
  <c r="DC31" i="2" s="1" a="1"/>
  <c r="DC31" i="2" s="1"/>
  <c r="DC6" i="2" a="1"/>
  <c r="DC6" i="2" s="1"/>
  <c r="DC23" i="2" a="1"/>
  <c r="DC23" i="2" s="1"/>
  <c r="DC20" i="2" a="1"/>
  <c r="DC20" i="2" s="1"/>
  <c r="DC12" i="2" a="1"/>
  <c r="DC12" i="2" s="1"/>
  <c r="DC4" i="2" a="1"/>
  <c r="DC4" i="2" s="1"/>
  <c r="DM19" i="2" a="1"/>
  <c r="DM19" i="2" s="1"/>
  <c r="DM13" i="2" a="1"/>
  <c r="DM13" i="2" s="1"/>
  <c r="DM23" i="2" a="1"/>
  <c r="DM23" i="2" s="1"/>
  <c r="DM7" i="2" a="1"/>
  <c r="DM7" i="2" s="1"/>
  <c r="DM22" i="2" a="1"/>
  <c r="DM22" i="2" s="1"/>
  <c r="DM16" i="2" a="1"/>
  <c r="DM16" i="2" s="1"/>
  <c r="DM10" i="2" a="1"/>
  <c r="DM10" i="2" s="1"/>
  <c r="DM4" i="2" a="1"/>
  <c r="DM4" i="2" s="1"/>
  <c r="DM17" i="2" a="1"/>
  <c r="DM17" i="2" s="1"/>
  <c r="DM27" i="2" a="1"/>
  <c r="DM27" i="2" s="1"/>
  <c r="DM11" i="2" a="1"/>
  <c r="DM11" i="2" s="1"/>
  <c r="DM21" i="2" a="1"/>
  <c r="DM21" i="2" s="1"/>
  <c r="DM5" i="2" a="1"/>
  <c r="DM5" i="2" s="1"/>
  <c r="DM15" i="2" a="1"/>
  <c r="DM15" i="2" s="1"/>
  <c r="DM6" i="2" a="1"/>
  <c r="DM6" i="2" s="1"/>
  <c r="DM26" i="2" a="1"/>
  <c r="DM26" i="2" s="1"/>
  <c r="DM20" i="2" a="1"/>
  <c r="DM20" i="2" s="1"/>
  <c r="DM14" i="2" a="1"/>
  <c r="DM14" i="2" s="1"/>
  <c r="DM24" i="2" a="1"/>
  <c r="DM24" i="2" s="1"/>
  <c r="DM8" i="2" a="1"/>
  <c r="DM8" i="2" s="1"/>
  <c r="DM18" i="2" a="1"/>
  <c r="DM18" i="2" s="1"/>
  <c r="DM28" i="2" a="1"/>
  <c r="DM28" i="2" s="1"/>
  <c r="HY9" i="2"/>
  <c r="IA6" i="2"/>
  <c r="HU9" i="2"/>
  <c r="HU7" i="2"/>
  <c r="HY5" i="2"/>
  <c r="HU4" i="2"/>
  <c r="HU5" i="2"/>
  <c r="IA9" i="2"/>
  <c r="HU13" i="2"/>
  <c r="IA8" i="2"/>
  <c r="HY6" i="2"/>
  <c r="HU11" i="2"/>
  <c r="HU17" i="2"/>
  <c r="HU15" i="2"/>
  <c r="HU8" i="2"/>
  <c r="HU6" i="2"/>
  <c r="HY8" i="2"/>
  <c r="F50" i="1"/>
  <c r="FD5" i="2"/>
  <c r="FD4" i="2"/>
  <c r="FD3" i="2"/>
  <c r="E46" i="1"/>
  <c r="EW3" i="2" a="1"/>
  <c r="EW3" i="2" s="1"/>
  <c r="EW11" i="2" s="1" a="1"/>
  <c r="EW11" i="2" s="1"/>
  <c r="EW6" i="2" a="1"/>
  <c r="EW6" i="2" s="1"/>
  <c r="EW4" i="2" a="1"/>
  <c r="EW4" i="2" s="1"/>
  <c r="EW7" i="2" a="1"/>
  <c r="EW7" i="2" s="1"/>
  <c r="EW5" i="2" a="1"/>
  <c r="EW5" i="2" s="1"/>
  <c r="EW8" i="2" a="1"/>
  <c r="EW8" i="2" s="1"/>
  <c r="EQ4" i="2" a="1"/>
  <c r="EQ4" i="2" s="1"/>
  <c r="EQ7" i="2" a="1"/>
  <c r="EQ7" i="2" s="1"/>
  <c r="EQ5" i="2" a="1"/>
  <c r="EQ5" i="2" s="1"/>
  <c r="EQ6" i="2" a="1"/>
  <c r="EQ6" i="2" s="1"/>
  <c r="EQ3" i="2" a="1"/>
  <c r="EQ3" i="2" s="1"/>
  <c r="EQ11" i="2" s="1" a="1"/>
  <c r="EQ11" i="2" s="1"/>
  <c r="EQ8" i="2" a="1"/>
  <c r="EQ8" i="2" s="1"/>
  <c r="CU4" i="2" a="1"/>
  <c r="CU4" i="2" s="1"/>
  <c r="CU9" i="2" a="1"/>
  <c r="CU9" i="2" s="1"/>
  <c r="CU6" i="2" a="1"/>
  <c r="CU6" i="2" s="1"/>
  <c r="CU11" i="2" a="1"/>
  <c r="CU11" i="2" s="1"/>
  <c r="CU8" i="2" a="1"/>
  <c r="CU8" i="2" s="1"/>
  <c r="CU10" i="2" a="1"/>
  <c r="CU10" i="2" s="1"/>
  <c r="CU5" i="2" a="1"/>
  <c r="CU5" i="2" s="1"/>
  <c r="CU3" i="2" a="1"/>
  <c r="CU3" i="2" s="1"/>
  <c r="CU14" i="2" s="1" a="1"/>
  <c r="CU14" i="2" s="1"/>
  <c r="CU7" i="2" a="1"/>
  <c r="CU7" i="2" s="1"/>
  <c r="F30" i="1" l="1"/>
  <c r="DO31" i="2" a="1"/>
  <c r="DO31" i="2" s="1"/>
  <c r="F55" i="1"/>
  <c r="F70" i="1"/>
  <c r="F47" i="1"/>
  <c r="F46" i="1"/>
  <c r="BY6" i="2"/>
  <c r="BY5" i="2"/>
  <c r="BY4" i="2"/>
  <c r="BZ6" i="2" l="1" a="1"/>
  <c r="BZ6" i="2" s="1"/>
  <c r="BZ3" i="2" a="1"/>
  <c r="BZ3" i="2" s="1"/>
  <c r="BZ9" i="2" s="1" a="1"/>
  <c r="BZ9" i="2" s="1"/>
  <c r="BZ4" i="2" a="1"/>
  <c r="BZ4" i="2" s="1"/>
  <c r="BZ5" i="2" a="1"/>
  <c r="BZ5" i="2" s="1"/>
  <c r="BP5" i="2"/>
  <c r="BQ5" i="2" s="1"/>
  <c r="BR5" i="2" s="1"/>
  <c r="BL6" i="2"/>
  <c r="BL4" i="2"/>
  <c r="BS6" i="2" l="1" a="1"/>
  <c r="BS6" i="2" s="1"/>
  <c r="BS5" i="2" a="1"/>
  <c r="BS5" i="2" s="1"/>
  <c r="BS7" i="2" a="1"/>
  <c r="BS7" i="2" s="1"/>
  <c r="BS3" i="2" a="1"/>
  <c r="BS3" i="2" s="1"/>
  <c r="BS8" i="2" a="1"/>
  <c r="BS8" i="2" s="1"/>
  <c r="BS4" i="2" a="1"/>
  <c r="BS4" i="2" s="1"/>
  <c r="BM5" i="2" a="1"/>
  <c r="BM5" i="2" s="1"/>
  <c r="BM3" i="2" a="1"/>
  <c r="BM3" i="2" s="1"/>
  <c r="BM9" i="2" s="1" a="1"/>
  <c r="BM9" i="2" s="1"/>
  <c r="BM4" i="2" a="1"/>
  <c r="BM4" i="2" s="1"/>
  <c r="BM6" i="2" a="1"/>
  <c r="BM6" i="2" s="1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G4" i="2"/>
  <c r="BG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3" i="2"/>
  <c r="BS10" i="2" l="1" a="1"/>
  <c r="BS11" i="2" s="1"/>
  <c r="E22" i="1"/>
  <c r="E21" i="1"/>
  <c r="E20" i="1"/>
  <c r="AT3" i="2"/>
  <c r="AS4" i="2"/>
  <c r="AT4" i="2" s="1"/>
  <c r="AN5" i="2"/>
  <c r="AN4" i="2"/>
  <c r="BS15" i="2" l="1"/>
  <c r="BS14" i="2"/>
  <c r="BS13" i="2"/>
  <c r="BS12" i="2"/>
  <c r="BS10" i="2"/>
  <c r="F14" i="1"/>
  <c r="AV5" i="2" a="1"/>
  <c r="AV5" i="2" s="1"/>
  <c r="AV3" i="2" a="1"/>
  <c r="AV3" i="2" s="1"/>
  <c r="AV8" i="2" s="1" a="1"/>
  <c r="AV8" i="2" s="1"/>
  <c r="AV4" i="2" a="1"/>
  <c r="AV4" i="2" s="1"/>
  <c r="AP5" i="2" a="1"/>
  <c r="AP5" i="2" s="1"/>
  <c r="AP3" i="2" a="1"/>
  <c r="AP3" i="2" s="1"/>
  <c r="AP8" i="2" s="1" a="1"/>
  <c r="AP8" i="2" s="1"/>
  <c r="AP4" i="2" a="1"/>
  <c r="AP4" i="2" s="1"/>
  <c r="G4" i="1"/>
  <c r="AJ7" i="2"/>
  <c r="AJ6" i="2"/>
  <c r="AJ5" i="2"/>
  <c r="AJ4" i="2"/>
  <c r="AJ3" i="2"/>
  <c r="F8" i="1"/>
  <c r="F7" i="1"/>
  <c r="AI4" i="2" l="1"/>
  <c r="AI7" i="2"/>
  <c r="AI6" i="2"/>
  <c r="AI5" i="2"/>
  <c r="AI3" i="2"/>
  <c r="AE3" i="2"/>
  <c r="F10" i="1" s="1"/>
  <c r="S8" i="2"/>
  <c r="S7" i="2"/>
  <c r="S6" i="2"/>
  <c r="S5" i="2"/>
  <c r="S4" i="2"/>
  <c r="N10" i="2"/>
  <c r="N9" i="2"/>
  <c r="N8" i="2"/>
  <c r="N7" i="2"/>
  <c r="N6" i="2"/>
  <c r="N5" i="2"/>
  <c r="N4" i="2"/>
  <c r="N3" i="2"/>
  <c r="M10" i="2"/>
  <c r="M9" i="2"/>
  <c r="M8" i="2"/>
  <c r="M7" i="2"/>
  <c r="M6" i="2"/>
  <c r="M5" i="2"/>
  <c r="M4" i="2"/>
  <c r="M3" i="2"/>
  <c r="F11" i="1" l="1"/>
  <c r="F54" i="1"/>
  <c r="AF3" i="2"/>
  <c r="F6" i="1"/>
  <c r="F45" i="1" s="1"/>
  <c r="AK5" i="2" a="1"/>
  <c r="AK5" i="2" s="1"/>
  <c r="AK4" i="2" a="1"/>
  <c r="AK4" i="2" s="1"/>
  <c r="AK6" i="2" a="1"/>
  <c r="AK6" i="2" s="1"/>
  <c r="AK3" i="2" a="1"/>
  <c r="AK3" i="2" s="1"/>
  <c r="AK10" i="2" s="1" a="1"/>
  <c r="AK10" i="2" s="1"/>
  <c r="AK7" i="2" a="1"/>
  <c r="AK7" i="2" s="1"/>
  <c r="AG3" i="2" a="1"/>
  <c r="AG3" i="2" s="1"/>
  <c r="AG7" i="2" s="1" a="1"/>
  <c r="AG7" i="2" s="1"/>
  <c r="AG4" i="2" a="1"/>
  <c r="AG4" i="2" s="1"/>
  <c r="T8" i="2" a="1"/>
  <c r="T8" i="2" s="1"/>
  <c r="T6" i="2" a="1"/>
  <c r="T6" i="2" s="1"/>
  <c r="T3" i="2" a="1"/>
  <c r="T3" i="2" s="1"/>
  <c r="T11" i="2" s="1" a="1"/>
  <c r="T11" i="2" s="1"/>
  <c r="T4" i="2" a="1"/>
  <c r="T4" i="2" s="1"/>
  <c r="T7" i="2" a="1"/>
  <c r="T7" i="2" s="1"/>
  <c r="T5" i="2" a="1"/>
  <c r="T5" i="2" s="1"/>
  <c r="O10" i="2" a="1"/>
  <c r="O10" i="2" s="1"/>
  <c r="O8" i="2" a="1"/>
  <c r="O8" i="2" s="1"/>
  <c r="O9" i="2" a="1"/>
  <c r="O9" i="2" s="1"/>
  <c r="O6" i="2" a="1"/>
  <c r="O6" i="2" s="1"/>
  <c r="O7" i="2" a="1"/>
  <c r="O7" i="2" s="1"/>
  <c r="O5" i="2" a="1"/>
  <c r="O5" i="2" s="1"/>
  <c r="O3" i="2" a="1"/>
  <c r="O3" i="2" s="1"/>
  <c r="O13" i="2" s="1" a="1"/>
  <c r="O13" i="2" s="1"/>
  <c r="O4" i="2" a="1"/>
  <c r="O4" i="2" s="1"/>
  <c r="F42" i="1" l="1"/>
  <c r="F49" i="1"/>
  <c r="F82" i="1" l="1"/>
  <c r="F8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<sst xmlns="http://schemas.openxmlformats.org/spreadsheetml/2006/main" count="4826" uniqueCount="829">
  <si>
    <t>POZYCJA</t>
  </si>
  <si>
    <t>ZAMÓWIENIE</t>
  </si>
  <si>
    <t>SZCZEGÓŁY</t>
  </si>
  <si>
    <t>CENA NETTO</t>
  </si>
  <si>
    <t>Podstawy</t>
  </si>
  <si>
    <t>Model drzwi</t>
  </si>
  <si>
    <t>DB 252</t>
  </si>
  <si>
    <t>Szklenie</t>
  </si>
  <si>
    <t>Grafit refleks</t>
  </si>
  <si>
    <t>Wykończenie</t>
  </si>
  <si>
    <t>Ilość kolorów</t>
  </si>
  <si>
    <t>Kolor</t>
  </si>
  <si>
    <t>Jasny orzech</t>
  </si>
  <si>
    <t>Rodzaj kamienia</t>
  </si>
  <si>
    <t>Inox dustronny</t>
  </si>
  <si>
    <t>-</t>
  </si>
  <si>
    <t>Konstrukcja drzwi</t>
  </si>
  <si>
    <t>Przylgowość</t>
  </si>
  <si>
    <t>Przylgowe</t>
  </si>
  <si>
    <t>Grubość drzwi [mm]</t>
  </si>
  <si>
    <t>Szerokość drzwi [cm]</t>
  </si>
  <si>
    <t>Wysokość drzwi [cm]</t>
  </si>
  <si>
    <t>Kierunek otwierania</t>
  </si>
  <si>
    <t>Lewe na zewnątrz</t>
  </si>
  <si>
    <t>Naświetle górne</t>
  </si>
  <si>
    <t>Ościeżnica</t>
  </si>
  <si>
    <t>Rodzaj</t>
  </si>
  <si>
    <t>Standardowa</t>
  </si>
  <si>
    <t>Aplikacja retro</t>
  </si>
  <si>
    <t>Grubość górna [cm]</t>
  </si>
  <si>
    <t>Grubość strona zawias [cm]</t>
  </si>
  <si>
    <t>Grubość strona zamka [cm]</t>
  </si>
  <si>
    <t>Szerokość [cm]</t>
  </si>
  <si>
    <t>Opaski</t>
  </si>
  <si>
    <t>Maskująca stała</t>
  </si>
  <si>
    <t>Ćwierćwałek</t>
  </si>
  <si>
    <t>Skrzydło</t>
  </si>
  <si>
    <t>Światło przejścia szerokość [cm]</t>
  </si>
  <si>
    <t>Wybierz opcję lub wpisz</t>
  </si>
  <si>
    <t>Światło przejścia wysokość [cm]</t>
  </si>
  <si>
    <t>Dostawki boczne</t>
  </si>
  <si>
    <t>Automatycznie</t>
  </si>
  <si>
    <t>Naświetle</t>
  </si>
  <si>
    <t>Lustro weneckie</t>
  </si>
  <si>
    <t>Wysokość [cm]</t>
  </si>
  <si>
    <t>Okucia</t>
  </si>
  <si>
    <t>Specjalny zestaw okuć</t>
  </si>
  <si>
    <t>Brak (standard)</t>
  </si>
  <si>
    <t>Zamek</t>
  </si>
  <si>
    <t>Okucie zewnętrzne</t>
  </si>
  <si>
    <t>Kolor okucia</t>
  </si>
  <si>
    <t>Długość antaby [cm]</t>
  </si>
  <si>
    <t>Wkładki</t>
  </si>
  <si>
    <t>Zapadka</t>
  </si>
  <si>
    <t>Listwa zaczepowa</t>
  </si>
  <si>
    <t>Dodatki</t>
  </si>
  <si>
    <t>Próg</t>
  </si>
  <si>
    <t>Aluminiowy (standard)</t>
  </si>
  <si>
    <t>Adapter podprogowy [cm]</t>
  </si>
  <si>
    <t>Okapnik</t>
  </si>
  <si>
    <t>Kopniak inox</t>
  </si>
  <si>
    <t>Wizjer</t>
  </si>
  <si>
    <t>Samozamykacz</t>
  </si>
  <si>
    <t>Kołatka</t>
  </si>
  <si>
    <t>Piaskowanie numery na szkle</t>
  </si>
  <si>
    <t>Kontaktron (czujka alarmowa)</t>
  </si>
  <si>
    <t>Zestaw pielęgnacyjny</t>
  </si>
  <si>
    <t>Inne</t>
  </si>
  <si>
    <t>Wpisz nazwisko</t>
  </si>
  <si>
    <t>Kolejność</t>
  </si>
  <si>
    <t>Cena podstawowa</t>
  </si>
  <si>
    <t>Kolekcja</t>
  </si>
  <si>
    <t>Drzwi&amp;szklenie</t>
  </si>
  <si>
    <t>DB 01</t>
  </si>
  <si>
    <t>Płycinowe</t>
  </si>
  <si>
    <t>Classic Plus</t>
  </si>
  <si>
    <t>Brąz refleks</t>
  </si>
  <si>
    <t>Mleczne</t>
  </si>
  <si>
    <t>Piaskowane refleks</t>
  </si>
  <si>
    <t>DB 03</t>
  </si>
  <si>
    <t>DB 04</t>
  </si>
  <si>
    <t>DB 07</t>
  </si>
  <si>
    <t>DB 09a</t>
  </si>
  <si>
    <t>DB 10</t>
  </si>
  <si>
    <t>DB 11</t>
  </si>
  <si>
    <t>DB 12</t>
  </si>
  <si>
    <t>DB 14</t>
  </si>
  <si>
    <t>DB 17</t>
  </si>
  <si>
    <t>Brąz refleks wypukły</t>
  </si>
  <si>
    <t>DB 18</t>
  </si>
  <si>
    <t>DB 19a</t>
  </si>
  <si>
    <t>DB 20</t>
  </si>
  <si>
    <t>DB 21</t>
  </si>
  <si>
    <t>DB 28</t>
  </si>
  <si>
    <t>DB 31</t>
  </si>
  <si>
    <t>DB 31a</t>
  </si>
  <si>
    <t>DB 32</t>
  </si>
  <si>
    <t>Brak (pełne)</t>
  </si>
  <si>
    <t>DB 33</t>
  </si>
  <si>
    <t>DB 34</t>
  </si>
  <si>
    <t>DB 39</t>
  </si>
  <si>
    <t>DB 43</t>
  </si>
  <si>
    <t>DB 45</t>
  </si>
  <si>
    <t>DB 47</t>
  </si>
  <si>
    <t>DB 51</t>
  </si>
  <si>
    <t>DB 52a</t>
  </si>
  <si>
    <t>DB 55</t>
  </si>
  <si>
    <t>Classic</t>
  </si>
  <si>
    <t>DB 56</t>
  </si>
  <si>
    <t>DB 56a</t>
  </si>
  <si>
    <t>DB 57</t>
  </si>
  <si>
    <t>Witraz</t>
  </si>
  <si>
    <t>DB 59</t>
  </si>
  <si>
    <t>DB 59a</t>
  </si>
  <si>
    <t>DB 60</t>
  </si>
  <si>
    <t>DB 61a</t>
  </si>
  <si>
    <t>DB 62a</t>
  </si>
  <si>
    <t>DB 63</t>
  </si>
  <si>
    <t>DB 63a</t>
  </si>
  <si>
    <t>DB 65</t>
  </si>
  <si>
    <t>DB 66a</t>
  </si>
  <si>
    <t>DB 67</t>
  </si>
  <si>
    <t>DB 68a</t>
  </si>
  <si>
    <t>DB 69</t>
  </si>
  <si>
    <t>DB 70</t>
  </si>
  <si>
    <t>DB 71a</t>
  </si>
  <si>
    <t>DB 72a</t>
  </si>
  <si>
    <t>DB 73</t>
  </si>
  <si>
    <t>DB 74</t>
  </si>
  <si>
    <t>Modern Inox</t>
  </si>
  <si>
    <t>DB 77</t>
  </si>
  <si>
    <t>DB 78</t>
  </si>
  <si>
    <t>DB 79</t>
  </si>
  <si>
    <t>DB 80</t>
  </si>
  <si>
    <t>DB 81</t>
  </si>
  <si>
    <t>DB 83</t>
  </si>
  <si>
    <t>DB 85</t>
  </si>
  <si>
    <t>Retro</t>
  </si>
  <si>
    <t>DB 87a</t>
  </si>
  <si>
    <t>DB 94</t>
  </si>
  <si>
    <t>DB 106</t>
  </si>
  <si>
    <t>DB 106a</t>
  </si>
  <si>
    <t>DB 107</t>
  </si>
  <si>
    <t>DB 108</t>
  </si>
  <si>
    <t>DB 151</t>
  </si>
  <si>
    <t>DB 152</t>
  </si>
  <si>
    <t>DB 154</t>
  </si>
  <si>
    <t>DB 157</t>
  </si>
  <si>
    <t>DB 158</t>
  </si>
  <si>
    <t>DB 159</t>
  </si>
  <si>
    <t>DB 200</t>
  </si>
  <si>
    <t>Płytowe</t>
  </si>
  <si>
    <t>Simple</t>
  </si>
  <si>
    <t>DB 200a</t>
  </si>
  <si>
    <t>DB 202a</t>
  </si>
  <si>
    <t>DB 203a</t>
  </si>
  <si>
    <t>DB 204</t>
  </si>
  <si>
    <t>DB 204a</t>
  </si>
  <si>
    <t>DB 205a</t>
  </si>
  <si>
    <t>DB 206a</t>
  </si>
  <si>
    <t>DB 207</t>
  </si>
  <si>
    <t>DB 207a</t>
  </si>
  <si>
    <t>DB 208a</t>
  </si>
  <si>
    <t>DB 209a</t>
  </si>
  <si>
    <t>DB 210a</t>
  </si>
  <si>
    <t>DB 211</t>
  </si>
  <si>
    <t>DB 211a</t>
  </si>
  <si>
    <t>DB 212a</t>
  </si>
  <si>
    <t>DB 213a</t>
  </si>
  <si>
    <t>DB 214</t>
  </si>
  <si>
    <t>DB 215</t>
  </si>
  <si>
    <t>DB 216</t>
  </si>
  <si>
    <t>DB 217</t>
  </si>
  <si>
    <t>DB 218</t>
  </si>
  <si>
    <t>DB 219</t>
  </si>
  <si>
    <t>DB 221</t>
  </si>
  <si>
    <t>DB 223</t>
  </si>
  <si>
    <t>DB 224</t>
  </si>
  <si>
    <t>DB 225</t>
  </si>
  <si>
    <t>DB 226</t>
  </si>
  <si>
    <t>DB 249</t>
  </si>
  <si>
    <t>DB 250</t>
  </si>
  <si>
    <t>DB 251</t>
  </si>
  <si>
    <t>DB 253</t>
  </si>
  <si>
    <t>DB 253a</t>
  </si>
  <si>
    <t>DB 253b</t>
  </si>
  <si>
    <t>DB 265</t>
  </si>
  <si>
    <t>DB 266</t>
  </si>
  <si>
    <t>DB 273</t>
  </si>
  <si>
    <t>DB 274</t>
  </si>
  <si>
    <t>DB 278</t>
  </si>
  <si>
    <t>DB 279a</t>
  </si>
  <si>
    <t>DB 285</t>
  </si>
  <si>
    <t>DB 286</t>
  </si>
  <si>
    <t>DB 289</t>
  </si>
  <si>
    <t>DB 290</t>
  </si>
  <si>
    <t>DB 291</t>
  </si>
  <si>
    <t>DB 292</t>
  </si>
  <si>
    <t>DB 293</t>
  </si>
  <si>
    <t>DB 296</t>
  </si>
  <si>
    <t>DB 297</t>
  </si>
  <si>
    <t>DB 298</t>
  </si>
  <si>
    <t>DB 299</t>
  </si>
  <si>
    <t>DB 325a</t>
  </si>
  <si>
    <t>Simple Inox</t>
  </si>
  <si>
    <t>DB 326</t>
  </si>
  <si>
    <t>DB 327</t>
  </si>
  <si>
    <t>DB 328</t>
  </si>
  <si>
    <t>DB 329</t>
  </si>
  <si>
    <t>DB 330</t>
  </si>
  <si>
    <t>DB 331</t>
  </si>
  <si>
    <t>DB 332</t>
  </si>
  <si>
    <t>DB 333</t>
  </si>
  <si>
    <t>DB 334</t>
  </si>
  <si>
    <t>DB 338</t>
  </si>
  <si>
    <t>DB 345</t>
  </si>
  <si>
    <t>DB 350</t>
  </si>
  <si>
    <t>DB 359</t>
  </si>
  <si>
    <t>DB 360</t>
  </si>
  <si>
    <t>DB 361</t>
  </si>
  <si>
    <t>DB 363</t>
  </si>
  <si>
    <t>DB 364</t>
  </si>
  <si>
    <t>DB 366</t>
  </si>
  <si>
    <t>DB 400</t>
  </si>
  <si>
    <t>Prestige Kamień</t>
  </si>
  <si>
    <t>DB 405</t>
  </si>
  <si>
    <t>DB 411</t>
  </si>
  <si>
    <t>DB 412</t>
  </si>
  <si>
    <t>DB 413</t>
  </si>
  <si>
    <t>DB 414</t>
  </si>
  <si>
    <t>DB 415</t>
  </si>
  <si>
    <t>DB 431</t>
  </si>
  <si>
    <t>DB 432</t>
  </si>
  <si>
    <t>DB 450</t>
  </si>
  <si>
    <t>DB 502</t>
  </si>
  <si>
    <t>Prestige Glass</t>
  </si>
  <si>
    <t>Dyskretne brąz refleks</t>
  </si>
  <si>
    <t>Dyskretne grafit refleks</t>
  </si>
  <si>
    <t>Dyskretne lustrzane</t>
  </si>
  <si>
    <t>Dyskretne lustro weneckie w głębi</t>
  </si>
  <si>
    <t>DB 506</t>
  </si>
  <si>
    <t>DB 510</t>
  </si>
  <si>
    <t>DB 511</t>
  </si>
  <si>
    <t>DB 512</t>
  </si>
  <si>
    <t>DB 513</t>
  </si>
  <si>
    <t>DB 514</t>
  </si>
  <si>
    <t>DB 515</t>
  </si>
  <si>
    <t>DB 516</t>
  </si>
  <si>
    <t>DB 517</t>
  </si>
  <si>
    <t>DB 601</t>
  </si>
  <si>
    <t>Maverick</t>
  </si>
  <si>
    <t>DB 602</t>
  </si>
  <si>
    <t>DB 603</t>
  </si>
  <si>
    <t>DB 604</t>
  </si>
  <si>
    <t>DB 605</t>
  </si>
  <si>
    <t>DB 606</t>
  </si>
  <si>
    <t>DB 607</t>
  </si>
  <si>
    <t>DB 609</t>
  </si>
  <si>
    <t>Modele</t>
  </si>
  <si>
    <t>lista</t>
  </si>
  <si>
    <t>funkcja</t>
  </si>
  <si>
    <t>cena</t>
  </si>
  <si>
    <t>mapping</t>
  </si>
  <si>
    <t>x</t>
  </si>
  <si>
    <t>Dąb prosty poprzeczny</t>
  </si>
  <si>
    <t>Dab flader podłużny</t>
  </si>
  <si>
    <t>Dąb flader poprzeczny</t>
  </si>
  <si>
    <t>Dąb sękaty podłużny</t>
  </si>
  <si>
    <t>Dąb sękaty poprzeczny</t>
  </si>
  <si>
    <t>Konstrukcja</t>
  </si>
  <si>
    <t>funkcja po konstrukcji</t>
  </si>
  <si>
    <t>Dwukolor ościeżnica (standard)</t>
  </si>
  <si>
    <t>Dwukolor</t>
  </si>
  <si>
    <t>Więcej niż dwa</t>
  </si>
  <si>
    <t>Afromozja</t>
  </si>
  <si>
    <t>Brunat</t>
  </si>
  <si>
    <t>Dąb</t>
  </si>
  <si>
    <t>Dąb bagienny</t>
  </si>
  <si>
    <t>Dąb natura</t>
  </si>
  <si>
    <t>Mahoń</t>
  </si>
  <si>
    <t>Orzech</t>
  </si>
  <si>
    <t>Teak</t>
  </si>
  <si>
    <t>Vintage oak</t>
  </si>
  <si>
    <t>Winchester</t>
  </si>
  <si>
    <t>Złoty dąb</t>
  </si>
  <si>
    <t>RAL 9016 biały</t>
  </si>
  <si>
    <t>RAL 7016 antracyt</t>
  </si>
  <si>
    <t>RAL 7047</t>
  </si>
  <si>
    <t>RAL 7040</t>
  </si>
  <si>
    <t>Jeden (standard)</t>
  </si>
  <si>
    <t>Inox dwustronny</t>
  </si>
  <si>
    <t>Kamień ozdobny</t>
  </si>
  <si>
    <t>Dab prosty podluzny</t>
  </si>
  <si>
    <t>Bezprzylgowe</t>
  </si>
  <si>
    <t>Bezprzylgowe Glass</t>
  </si>
  <si>
    <t>Grubosc</t>
  </si>
  <si>
    <t>funkcja po ościeżnicy</t>
  </si>
  <si>
    <t>102 dostawka</t>
  </si>
  <si>
    <t>106 dostawka</t>
  </si>
  <si>
    <t>szerokość</t>
  </si>
  <si>
    <t>Szerokość i dostawki</t>
  </si>
  <si>
    <t>dostawki po grubości</t>
  </si>
  <si>
    <t>dostawki mapping</t>
  </si>
  <si>
    <t>Konieczna dostawka</t>
  </si>
  <si>
    <t>Konieczne 2 dostawki</t>
  </si>
  <si>
    <t/>
  </si>
  <si>
    <t>Wysokość i naświetla</t>
  </si>
  <si>
    <t>wysokosc</t>
  </si>
  <si>
    <t>102 naswietle</t>
  </si>
  <si>
    <t>106 naswietle</t>
  </si>
  <si>
    <t>naswietle po grubosci</t>
  </si>
  <si>
    <t>naswietle mapping</t>
  </si>
  <si>
    <t>Konieczne naświetle</t>
  </si>
  <si>
    <t>Prawe na zewnątrz</t>
  </si>
  <si>
    <t>Lewe do wewnątrz</t>
  </si>
  <si>
    <t>Prawe do wewnątrz</t>
  </si>
  <si>
    <t>Dostawka od strony zawias</t>
  </si>
  <si>
    <t>Dostawka od strony zamka</t>
  </si>
  <si>
    <t>Dostawki</t>
  </si>
  <si>
    <t>W ościeżnicy nowoczesna</t>
  </si>
  <si>
    <t>W ościeżnicy tradycyjna</t>
  </si>
  <si>
    <t>W ościeżnicy</t>
  </si>
  <si>
    <t>W łuku w ościeżnicy</t>
  </si>
  <si>
    <t>Ościeżnica rodzaj</t>
  </si>
  <si>
    <t>Krosnowa</t>
  </si>
  <si>
    <t>Aplikacja Retro</t>
  </si>
  <si>
    <t>Przy skrzydle od zewnątrz</t>
  </si>
  <si>
    <t>Przy skrzydle z dwóch stron</t>
  </si>
  <si>
    <t>Przy skrzydle i ościeżnicy od zewnątrz</t>
  </si>
  <si>
    <t>Przy skrzydle i ościeżnicy z dwóch stron</t>
  </si>
  <si>
    <t>Przy skrzydle i naświetlu od zewnątrz</t>
  </si>
  <si>
    <t>Przy skrzydle i naświetlu z dwóch stron</t>
  </si>
  <si>
    <t>Przy skrzydle, naświetlu i ościeżnicy z dwóch stron</t>
  </si>
  <si>
    <t>Przy skrzydle, naświetlu i ościeżnicy od zewnątrz</t>
  </si>
  <si>
    <t>funkcja po dostawkach</t>
  </si>
  <si>
    <t>funkcja po naświetlu</t>
  </si>
  <si>
    <t>vlookup ościeżnicy</t>
  </si>
  <si>
    <t>funkcja po grubosci</t>
  </si>
  <si>
    <t>grubość</t>
  </si>
  <si>
    <t>vlookup rodzaj</t>
  </si>
  <si>
    <t>krosnowa</t>
  </si>
  <si>
    <t>funckja po ościeżnicy</t>
  </si>
  <si>
    <t>Grubość górna standard [cm]</t>
  </si>
  <si>
    <t>standardowa</t>
  </si>
  <si>
    <t>Grubość boczna ościeżnicy</t>
  </si>
  <si>
    <t>Szerokość ościeznicy cm</t>
  </si>
  <si>
    <t>lista wybór</t>
  </si>
  <si>
    <t>Obróbki</t>
  </si>
  <si>
    <t>funkcja po krosnowej</t>
  </si>
  <si>
    <t>stawki pod liczenie</t>
  </si>
  <si>
    <t>grubość pod liczenie</t>
  </si>
  <si>
    <t>funkcja po warunku minimum</t>
  </si>
  <si>
    <t>DB 279</t>
  </si>
  <si>
    <t>szerokości pod liczenie</t>
  </si>
  <si>
    <t>Regulowana wewnętrzna</t>
  </si>
  <si>
    <t>Regulowana zewnętrzna</t>
  </si>
  <si>
    <t>Szerokosć 10 cm</t>
  </si>
  <si>
    <t>Tak</t>
  </si>
  <si>
    <t>Opaska wewnętrzna</t>
  </si>
  <si>
    <t>dopłaty</t>
  </si>
  <si>
    <t>za dostawkę</t>
  </si>
  <si>
    <t xml:space="preserve">za wysokość ponad standard </t>
  </si>
  <si>
    <t>stawka</t>
  </si>
  <si>
    <t>Opaska zewnętrzna</t>
  </si>
  <si>
    <t>Listwa maskująca</t>
  </si>
  <si>
    <t>pod wymiar</t>
  </si>
  <si>
    <t>Skrzydło szerokość (tu będzie można wpisać swój wymiar)</t>
  </si>
  <si>
    <t>Skrzydło wysokość (tu będzie można wpisać swój wymiar)</t>
  </si>
  <si>
    <t>funkcja po dostawce</t>
  </si>
  <si>
    <t>dopłata szklenie</t>
  </si>
  <si>
    <t>Od zawias - ilość pól szkła</t>
  </si>
  <si>
    <t>Od zawias - rodzaj szklenia</t>
  </si>
  <si>
    <t>Od zawias - szerokość w świetle [cm]</t>
  </si>
  <si>
    <t>Od zamka - szerokość w świetle [cm]</t>
  </si>
  <si>
    <t>Od zamka - rodzaj szklenia</t>
  </si>
  <si>
    <t>Od zamka- ilość pól szkła</t>
  </si>
  <si>
    <t>Standard do: 4</t>
  </si>
  <si>
    <t>pola szkła</t>
  </si>
  <si>
    <t>Ocja witraż nie powinna być dotępna dla w ościeżnicy nowoczesnej</t>
  </si>
  <si>
    <t>Opcja dyskretne - tylko dla imitacji skrzydła</t>
  </si>
  <si>
    <t>opcje szklenia po rodzaju dostawki
dostawka od zawias</t>
  </si>
  <si>
    <t>opcje szklenia po rodzaju dostawki
dostawka od zamka</t>
  </si>
  <si>
    <t xml:space="preserve">ilość za free </t>
  </si>
  <si>
    <t>stawka powyżej 4</t>
  </si>
  <si>
    <t xml:space="preserve"> dostawka w ościeżnicy tradycyjna 
szklana - minimalna szerokość</t>
  </si>
  <si>
    <t xml:space="preserve"> dostawka w ościeżnicy nowoczesna 
 szklana - minimalna szerokość</t>
  </si>
  <si>
    <t xml:space="preserve"> dostawka w imitacji skrzydła stała pełna - minimalna szerokość</t>
  </si>
  <si>
    <t xml:space="preserve"> dostawka w imitacji skrzydła stała szklana - minimalna szerokość</t>
  </si>
  <si>
    <t xml:space="preserve"> dostawka w imitacji skrzydła ruchoma szklana - minimalna szerokość</t>
  </si>
  <si>
    <t>Mapping</t>
  </si>
  <si>
    <t xml:space="preserve"> dostawka w imitacji skrzydła ruchoma pełna - minimalna szerokość</t>
  </si>
  <si>
    <t>Mapping na pełne</t>
  </si>
  <si>
    <t>Imitacja skrzydła ruchoma</t>
  </si>
  <si>
    <t>Imitacja skrzydła</t>
  </si>
  <si>
    <t>Imitacja skrzydła stała</t>
  </si>
  <si>
    <t>Szklenie dostawkach</t>
  </si>
  <si>
    <t>mapping od zawias</t>
  </si>
  <si>
    <t>mapping od zamka</t>
  </si>
  <si>
    <t>fukca po wyborze od zamka</t>
  </si>
  <si>
    <t>opcje jeśli w ogóle jest jakaś dostawka od zawias</t>
  </si>
  <si>
    <t>opcje jeśli w ogóle jest jakaś dostawka od zamka</t>
  </si>
  <si>
    <t>Witraż</t>
  </si>
  <si>
    <t xml:space="preserve"> dostawka w ościeżnicy nowoczesna 
pełna - minimalna szerokość</t>
  </si>
  <si>
    <t xml:space="preserve"> dostawka w ościeżnicy tradycyjna 
pełna - minimalna szerokość</t>
  </si>
  <si>
    <t>procenty od zawias</t>
  </si>
  <si>
    <t>procenty od zamka</t>
  </si>
  <si>
    <t>Dostawki cena</t>
  </si>
  <si>
    <t>fukcja po linii (Kamień bez imitacji skrzydła)</t>
  </si>
  <si>
    <t>funkcja po ościeżnicy (bezprzylgowa glass)</t>
  </si>
  <si>
    <t>Ilość pól szkła</t>
  </si>
  <si>
    <t>Mapping dla naświetle</t>
  </si>
  <si>
    <t>szkło naświetle</t>
  </si>
  <si>
    <t>szklenie po rodzaju naświetla</t>
  </si>
  <si>
    <t>szklenie po opcji szklenia</t>
  </si>
  <si>
    <t>maping szklenie</t>
  </si>
  <si>
    <t>naświetle</t>
  </si>
  <si>
    <t>wylicznie pod naświetla</t>
  </si>
  <si>
    <t>wysokość naświetla</t>
  </si>
  <si>
    <t>dopłata do wysokości</t>
  </si>
  <si>
    <t>dopłata bazowa</t>
  </si>
  <si>
    <t>cena bez szkła</t>
  </si>
  <si>
    <t>cena finalna</t>
  </si>
  <si>
    <t>funkcja po wyborze od zawias</t>
  </si>
  <si>
    <t>mapping po naświetlu</t>
  </si>
  <si>
    <t>Specjalny zestaw lista</t>
  </si>
  <si>
    <t>Zestaw czytnik linii papilarnych</t>
  </si>
  <si>
    <t>Zestaw antywłamaniowy RC2</t>
  </si>
  <si>
    <t>Zestaw elektronik z zamkiem automatycznym</t>
  </si>
  <si>
    <t>Zestaw elektronik z zamkiem ryglowym</t>
  </si>
  <si>
    <t>Zestaw z pochwytem na styl amerykański</t>
  </si>
  <si>
    <t>Zamek po zestawie</t>
  </si>
  <si>
    <t>zamek</t>
  </si>
  <si>
    <t>zestaw specjalny</t>
  </si>
  <si>
    <t>Klamka Medos Warszawa (standard)</t>
  </si>
  <si>
    <t>Klamka Medos Dublin</t>
  </si>
  <si>
    <t>Klamka Hoppe Bezpieczna</t>
  </si>
  <si>
    <t>Klamka AXA Haga Plus</t>
  </si>
  <si>
    <t>Klamka AXA Slim Plus</t>
  </si>
  <si>
    <t>Klamka AXA Manitoba Plus</t>
  </si>
  <si>
    <t>Klamka AXA Niagara Plus</t>
  </si>
  <si>
    <t>Klamka Barański Retro</t>
  </si>
  <si>
    <t xml:space="preserve">Antaba AXA Montreal okrągła prosta + klamka Gaja </t>
  </si>
  <si>
    <t xml:space="preserve">Antaba AXA Montreal okrągła skośna + klamka Gaja </t>
  </si>
  <si>
    <t xml:space="preserve">Antaba AXA Amsterdam prostokątna prosta + klamka Gaja </t>
  </si>
  <si>
    <t xml:space="preserve">Antaba AXA Amsterdam prostokątna skośna + klamka Gaja </t>
  </si>
  <si>
    <t>Klamka AXA Prestige Flex</t>
  </si>
  <si>
    <t>Klamka AXA Diva Flex</t>
  </si>
  <si>
    <t>Pochwyt Palermo w zestawie</t>
  </si>
  <si>
    <t>Antaba Medos Paris okrągła prosta + klamka Warszawa</t>
  </si>
  <si>
    <t>Antaba Medos Paris okrągła skośna + klamka Warszawa</t>
  </si>
  <si>
    <t>Antaba Medos Lisbon prostokątna prosta + klamka Warszawa</t>
  </si>
  <si>
    <t>Antaba Medos Lisbon prostokątna skośna + klamka Warszawa</t>
  </si>
  <si>
    <t>Antaba Medos Madrid kwadratowa prosta + klamka Warszawa</t>
  </si>
  <si>
    <t>Antaba Medos Madrid kwadratowa skośna + klamka Warszawa</t>
  </si>
  <si>
    <t>Okucie zewnętrzne lista</t>
  </si>
  <si>
    <t>Okucia po zestawie</t>
  </si>
  <si>
    <t>zamek mapping</t>
  </si>
  <si>
    <t>Okucia po konstrukcji</t>
  </si>
  <si>
    <t>Pochwyt Eva</t>
  </si>
  <si>
    <t>Pochwyt Maddalena</t>
  </si>
  <si>
    <t>Wszystkie czytniki</t>
  </si>
  <si>
    <t>Numeracja pomocnicza</t>
  </si>
  <si>
    <t>Cena</t>
  </si>
  <si>
    <t>Mapping okucia</t>
  </si>
  <si>
    <t>Tabela okucia a kolor (1/2)</t>
  </si>
  <si>
    <t>Tabela okucia a kolor (2/2)</t>
  </si>
  <si>
    <t>Inox</t>
  </si>
  <si>
    <t>Inox błysk</t>
  </si>
  <si>
    <t>Stare złoto</t>
  </si>
  <si>
    <t>Czarny</t>
  </si>
  <si>
    <t>Patyna</t>
  </si>
  <si>
    <t>Satyna</t>
  </si>
  <si>
    <t>Tytan</t>
  </si>
  <si>
    <t>Złoty błysk</t>
  </si>
  <si>
    <t>Srebro antyczne</t>
  </si>
  <si>
    <t>Czarny mat</t>
  </si>
  <si>
    <t>Stal nierdzewna</t>
  </si>
  <si>
    <t>Kolor okucia funkcja</t>
  </si>
  <si>
    <t>Kolor okucia mapping</t>
  </si>
  <si>
    <t>Długość antaby</t>
  </si>
  <si>
    <t>Długość mapping</t>
  </si>
  <si>
    <t>Wkładki lista</t>
  </si>
  <si>
    <t>Wkładki po zestawie</t>
  </si>
  <si>
    <t>Wkładka mapping</t>
  </si>
  <si>
    <t>Standard satyna</t>
  </si>
  <si>
    <t>Klasy C satyna</t>
  </si>
  <si>
    <t>Klasy C czarna</t>
  </si>
  <si>
    <t>Manualna</t>
  </si>
  <si>
    <t>Elektrozaczep</t>
  </si>
  <si>
    <t>Po zestawie</t>
  </si>
  <si>
    <t>funkcja po zapadce</t>
  </si>
  <si>
    <t>po okuciu (dla klamek nie)</t>
  </si>
  <si>
    <t>mapping zapadka</t>
  </si>
  <si>
    <t>Klasy B czarna</t>
  </si>
  <si>
    <t>mapping listwa</t>
  </si>
  <si>
    <t xml:space="preserve">cena </t>
  </si>
  <si>
    <t>Szyba P4</t>
  </si>
  <si>
    <t>lista opcji</t>
  </si>
  <si>
    <t>W skrzydle</t>
  </si>
  <si>
    <t>W skrzydle i dostawce</t>
  </si>
  <si>
    <t>W skrzydle i dostawkach</t>
  </si>
  <si>
    <t>W skrzydle i naświetlu</t>
  </si>
  <si>
    <t>W skrzydle, dostawce i naświetlu</t>
  </si>
  <si>
    <t>W skrzydle, dostawkach i naświetlu</t>
  </si>
  <si>
    <t>W dostawce</t>
  </si>
  <si>
    <t>W dostawkach</t>
  </si>
  <si>
    <t>W dostawce i naświetlu</t>
  </si>
  <si>
    <t>W dostawkach i naświetlu</t>
  </si>
  <si>
    <t>funkcja po skrzydle (czy pełne czy nie)</t>
  </si>
  <si>
    <t>Cena po uwzględniu RC2</t>
  </si>
  <si>
    <t>mapping P4</t>
  </si>
  <si>
    <t>PROGI</t>
  </si>
  <si>
    <t>Drewniany z nakładką aluminową</t>
  </si>
  <si>
    <t>funkcja po kierunku otwierania</t>
  </si>
  <si>
    <t>mapping progi</t>
  </si>
  <si>
    <t>cena bazowa</t>
  </si>
  <si>
    <t>cena pod dostawkach</t>
  </si>
  <si>
    <t>Adapter</t>
  </si>
  <si>
    <t>Cena bazowa</t>
  </si>
  <si>
    <t>Cena po dostawkach</t>
  </si>
  <si>
    <t>Według ilości dostawek</t>
  </si>
  <si>
    <t>Z jednej strony skrzydła</t>
  </si>
  <si>
    <t>Z dwóch stron skrzydła</t>
  </si>
  <si>
    <t>Z jednej strony skrzydła i dostawki</t>
  </si>
  <si>
    <t>Z dwóch stron skrzydła i dostawki</t>
  </si>
  <si>
    <t>Z jednej strony skrzydła i dostawek</t>
  </si>
  <si>
    <t>Z dwóch stron skrzydła i dostawek</t>
  </si>
  <si>
    <t>Cena bezowa okapnik</t>
  </si>
  <si>
    <t>Cena po konstrucji
okapnik</t>
  </si>
  <si>
    <t>cena bazowa kopniak</t>
  </si>
  <si>
    <t>Okapnik/Kopniak</t>
  </si>
  <si>
    <t>cena po konstrukcji kopniak</t>
  </si>
  <si>
    <t>mapping okapnik/kopniak</t>
  </si>
  <si>
    <t>Wizjer panoramiczny</t>
  </si>
  <si>
    <t>Nawierzchniowy inox</t>
  </si>
  <si>
    <t>Nawierzchniowy biały</t>
  </si>
  <si>
    <t>Nawierzchniowy brąz</t>
  </si>
  <si>
    <t>Nawierzchniowy czarny</t>
  </si>
  <si>
    <t>Nawierzchniowy z funkcją stop inox</t>
  </si>
  <si>
    <t>Nawierzchniowy z funkcją stop biały</t>
  </si>
  <si>
    <t>Nawierzchniowy z funkcją stop brąz</t>
  </si>
  <si>
    <t>Nawierzchniowy z funkcją stop czarny</t>
  </si>
  <si>
    <t>Ukryty</t>
  </si>
  <si>
    <t>Ukryty z funkcją stop</t>
  </si>
  <si>
    <t>Lew retro patyna</t>
  </si>
  <si>
    <t>Lew retro satyna</t>
  </si>
  <si>
    <t>Na skrzydle</t>
  </si>
  <si>
    <t>Na dostawce</t>
  </si>
  <si>
    <t>Kontrakton</t>
  </si>
  <si>
    <t>Ryglowy 3-punktowy z gałką (standard)</t>
  </si>
  <si>
    <t>Ryglowy 3-punktowy bez gałki (standard)</t>
  </si>
  <si>
    <t>Ryglowy 4-punktowy</t>
  </si>
  <si>
    <t>Automat 4-punktowy</t>
  </si>
  <si>
    <t>Cena wkładki</t>
  </si>
  <si>
    <t>Standard patyna</t>
  </si>
  <si>
    <t>Klasy C patyna</t>
  </si>
  <si>
    <t>Wpisz pozycję i kwotę</t>
  </si>
  <si>
    <t>Montaż</t>
  </si>
  <si>
    <t>Rabat</t>
  </si>
  <si>
    <t>Cena netto</t>
  </si>
  <si>
    <t>Klient</t>
  </si>
  <si>
    <t>Automat 3-punktowy z gałką</t>
  </si>
  <si>
    <t>Automat 3-punktowy bez gałki</t>
  </si>
  <si>
    <t>--- RAL inny ---</t>
  </si>
  <si>
    <t>RAL 1000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</si>
  <si>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</si>
  <si>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</si>
  <si>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</si>
  <si>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</si>
  <si>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</si>
  <si>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</si>
  <si>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</si>
  <si>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</si>
  <si>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</si>
  <si>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</si>
  <si>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</si>
  <si>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</si>
  <si>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</si>
  <si>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</si>
  <si>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</si>
  <si>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</si>
  <si>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</si>
  <si>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</si>
  <si>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</si>
  <si>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</si>
  <si>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1026</t>
  </si>
  <si>
    <t>RAL 1027</t>
  </si>
  <si>
    <t>RAL 1028</t>
  </si>
  <si>
    <t>RAL 1032</t>
  </si>
  <si>
    <t>RAL 1033</t>
  </si>
  <si>
    <t>RAL 1034</t>
  </si>
  <si>
    <t>RAL 1035</t>
  </si>
  <si>
    <t>RAL 1036</t>
  </si>
  <si>
    <t>RAL 1037</t>
  </si>
  <si>
    <t>RAL 2000</t>
  </si>
  <si>
    <t>RAL 2001</t>
  </si>
  <si>
    <t>RAL 2002</t>
  </si>
  <si>
    <t>RAL 2003</t>
  </si>
  <si>
    <t>RAL 2004</t>
  </si>
  <si>
    <t>RAL 2005</t>
  </si>
  <si>
    <t>RAL 2007</t>
  </si>
  <si>
    <t>RAL 2008</t>
  </si>
  <si>
    <t>RAL 2009</t>
  </si>
  <si>
    <t>RAL 2010</t>
  </si>
  <si>
    <t>RAL 2011</t>
  </si>
  <si>
    <t>RAL 2012</t>
  </si>
  <si>
    <t>RAL 2013</t>
  </si>
  <si>
    <t>RAL 3000</t>
  </si>
  <si>
    <t>RAL 3001</t>
  </si>
  <si>
    <t>RAL 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</si>
  <si>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</si>
  <si>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</si>
  <si>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</si>
  <si>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</si>
  <si>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</si>
  <si>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</si>
  <si>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</si>
  <si>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</si>
  <si>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</si>
  <si>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</si>
  <si>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</si>
  <si>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</si>
  <si>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</si>
  <si>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</si>
  <si>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</si>
  <si>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3024</t>
  </si>
  <si>
    <t>RAL 3026</t>
  </si>
  <si>
    <t>RAL 3027</t>
  </si>
  <si>
    <t>RAL 3028</t>
  </si>
  <si>
    <t>RAL 3031</t>
  </si>
  <si>
    <t>RAL 3032</t>
  </si>
  <si>
    <t>RAL 3033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</si>
  <si>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</si>
  <si>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</si>
  <si>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</si>
  <si>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</si>
  <si>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</si>
  <si>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</si>
  <si>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</si>
  <si>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</si>
  <si>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</si>
  <si>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4010</t>
  </si>
  <si>
    <t>RAL 4011</t>
  </si>
  <si>
    <t>RAL 4012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</si>
  <si>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</si>
  <si>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</si>
  <si>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</si>
  <si>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</si>
  <si>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</si>
  <si>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</si>
  <si>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</si>
  <si>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</si>
  <si>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</si>
  <si>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</si>
  <si>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</si>
  <si>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</si>
  <si>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</si>
  <si>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</si>
  <si>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</si>
  <si>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</si>
  <si>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</si>
  <si>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</si>
  <si>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</si>
  <si>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</si>
  <si>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</si>
  <si>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</si>
  <si>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</si>
  <si>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5025</t>
  </si>
  <si>
    <t>RAL 5026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</si>
  <si>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</si>
  <si>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</si>
  <si>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</si>
  <si>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</si>
  <si>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</si>
  <si>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</si>
  <si>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</si>
  <si>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</si>
  <si>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</si>
  <si>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</si>
  <si>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</si>
  <si>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</si>
  <si>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</si>
  <si>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</si>
  <si>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</si>
  <si>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</si>
  <si>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</si>
  <si>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</si>
  <si>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</si>
  <si>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</si>
  <si>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</si>
  <si>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</si>
  <si>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</si>
  <si>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</si>
  <si>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</si>
  <si>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</si>
  <si>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</si>
  <si>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</si>
  <si>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</si>
  <si>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</si>
  <si>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</si>
  <si>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</si>
  <si>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6035</t>
  </si>
  <si>
    <t>RAL 6036</t>
  </si>
  <si>
    <t>RAL 6038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</si>
  <si>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</si>
  <si>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</si>
  <si>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</si>
  <si>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</si>
  <si>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</si>
  <si>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</si>
  <si>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</si>
  <si>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</si>
  <si>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</si>
  <si>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</si>
  <si>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</si>
  <si>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</si>
  <si>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</si>
  <si>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</si>
  <si>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</si>
  <si>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</si>
  <si>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</si>
  <si>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</si>
  <si>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</si>
  <si>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</si>
  <si>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</si>
  <si>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</si>
  <si>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</si>
  <si>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</si>
  <si>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7035</t>
  </si>
  <si>
    <t>RAL 7036</t>
  </si>
  <si>
    <t>RAL 7037</t>
  </si>
  <si>
    <t>RAL 7038</t>
  </si>
  <si>
    <t>RAL 7039</t>
  </si>
  <si>
    <t>RAL 7042</t>
  </si>
  <si>
    <t>RAL 7043</t>
  </si>
  <si>
    <t>RAL 7044</t>
  </si>
  <si>
    <t>RAL 7045</t>
  </si>
  <si>
    <t>RAL 7046</t>
  </si>
  <si>
    <t>RAL 7048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</si>
  <si>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</si>
  <si>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</si>
  <si>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</si>
  <si>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</si>
  <si>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</si>
  <si>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</si>
  <si>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</si>
  <si>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</si>
  <si>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</si>
  <si>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</si>
  <si>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</si>
  <si>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</si>
  <si>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8017</t>
  </si>
  <si>
    <t>RAL 8019</t>
  </si>
  <si>
    <t>RAL 8022</t>
  </si>
  <si>
    <t>RAL 8023</t>
  </si>
  <si>
    <t>RAL 8024</t>
  </si>
  <si>
    <t>RAL 8025</t>
  </si>
  <si>
    <t>RAL 8028</t>
  </si>
  <si>
    <t>RAL 8029</t>
  </si>
  <si>
    <t>RAL 9001</t>
  </si>
  <si>
    <t>RAL 9002</t>
  </si>
  <si>
    <t>RAL 9003</t>
  </si>
  <si>
    <t>RAL 9004</t>
  </si>
  <si>
    <t>RAL 9005</t>
  </si>
  <si>
    <t>RAL 9006</t>
  </si>
  <si>
    <t>RAL 9007</t>
  </si>
  <si>
    <t>RAL 9010</t>
  </si>
  <si>
    <t>RAL 9011</t>
  </si>
  <si>
    <t>RAL 9017</t>
  </si>
  <si>
    <t>RAL 9018</t>
  </si>
  <si>
    <t>RAL 9022</t>
  </si>
  <si>
    <t>RAL 9023</t>
  </si>
  <si>
    <t>1 kpl</t>
  </si>
  <si>
    <t>2 kpl</t>
  </si>
  <si>
    <t>Wybierz rabat</t>
  </si>
  <si>
    <t>Wybierz kwotę</t>
  </si>
  <si>
    <t>Zabudowa wewnętrzna [cm]</t>
  </si>
  <si>
    <t>Zabudowa zewnętrzna [cm]</t>
  </si>
  <si>
    <t>W łuku</t>
  </si>
  <si>
    <t>Antaba łukowa prostokątna prosta + klamka Warszawa</t>
  </si>
  <si>
    <t>Antaba łukowa okrągła prosta + klamka Warszawa</t>
  </si>
  <si>
    <t>Tu wpisz uwagi</t>
  </si>
  <si>
    <t>Dla ościeżnicy od zawias</t>
  </si>
  <si>
    <t>Dla ościeżnicy od zamka</t>
  </si>
  <si>
    <t>Dla dostawki od zawias</t>
  </si>
  <si>
    <t>Dla dostawki od zamka</t>
  </si>
  <si>
    <t>SOLO</t>
  </si>
  <si>
    <t>DOSTAWKA OD ZAWIAS</t>
  </si>
  <si>
    <t>DOSTAWKA OD ZAMKA</t>
  </si>
  <si>
    <t>2 DOSTAWKI</t>
  </si>
  <si>
    <t>funkcja po grubosci ościeżnicy od zawias</t>
  </si>
  <si>
    <t>funkcja po grubosci ościeżnicy od zamka</t>
  </si>
  <si>
    <t>funkcja po warunku minimum od zawias</t>
  </si>
  <si>
    <t>funkcja po warunku minimum od zamka</t>
  </si>
  <si>
    <t>Palisander</t>
  </si>
  <si>
    <t>Wybierz stawkę</t>
  </si>
  <si>
    <t>VAT</t>
  </si>
  <si>
    <t>Cena brutto (dla wybranej stawki VAT)</t>
  </si>
  <si>
    <t>xxx</t>
  </si>
  <si>
    <t>Pojedynczy jedna wkładka</t>
  </si>
  <si>
    <t>Podwójny dwie wkładki</t>
  </si>
  <si>
    <t>Model</t>
  </si>
  <si>
    <t>Antaba Vegas prostokątna polerowana + klamka Warszawa</t>
  </si>
  <si>
    <t>Zestaw czytnik linii papilarnych dLine</t>
  </si>
  <si>
    <t>Zestaw UNILOCK</t>
  </si>
  <si>
    <t>Zestaw UNILOCK WIFI</t>
  </si>
  <si>
    <t>Automat ADR 5-punktowy z gałką</t>
  </si>
  <si>
    <t>Automat ADR 5-punktowy bez gałki</t>
  </si>
  <si>
    <t>Montana</t>
  </si>
  <si>
    <t>Ościeżnica od zawias pogrubienia w standardzie</t>
  </si>
  <si>
    <t>Klamko - gałka Medos Warszawa</t>
  </si>
  <si>
    <t>Klamko - gałka Medos Dublin</t>
  </si>
  <si>
    <t>Klamko - gałka Hoppe Bezpieczna</t>
  </si>
  <si>
    <t>Klamko - gałka AXA Diva Flex</t>
  </si>
  <si>
    <t>Klamko - gałka AXA Haga Plus</t>
  </si>
  <si>
    <t>Klamko - gałka AXA Prestige Flex</t>
  </si>
  <si>
    <t>Klamko - gałka Dublin Warszawa</t>
  </si>
  <si>
    <t>Szerokosć 8 cm</t>
  </si>
  <si>
    <t>Kolor zawiasów</t>
  </si>
  <si>
    <t>czarny</t>
  </si>
  <si>
    <t>Kolor po przylgowości</t>
  </si>
  <si>
    <t>W ościeżnicy kasetonem</t>
  </si>
  <si>
    <t>W ościeżnicy z kasetonem</t>
  </si>
  <si>
    <t>funkcja po wykończeniu</t>
  </si>
  <si>
    <t>tak</t>
  </si>
  <si>
    <t>nie</t>
  </si>
  <si>
    <t>Wykończenie po konstukcji</t>
  </si>
  <si>
    <t>Przezierne</t>
  </si>
  <si>
    <t>DB 153a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</si>
</sst>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6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i/>
      <sz val="10"/>
      <color theme="2" tint="-0.74999237037263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24994659260841701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/>
    <xf numFmtId="3" fontId="2" fillId="5" borderId="0" xfId="0" applyNumberFormat="1" applyFon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3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0" fontId="0" fillId="0" borderId="1" xfId="0" applyBorder="1"/>
    <xf numFmtId="165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7" fillId="5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2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left" vertical="center"/>
    </xf>
    <xf numFmtId="3" fontId="1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quotePrefix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9" fontId="4" fillId="2" borderId="0" xfId="0" applyNumberFormat="1" applyFont="1" applyFill="1" applyAlignment="1">
      <alignment vertical="center"/>
    </xf>
    <xf numFmtId="9" fontId="0" fillId="2" borderId="0" xfId="0" applyNumberFormat="1" applyFill="1" applyAlignment="1">
      <alignment vertical="center"/>
    </xf>
    <xf numFmtId="3" fontId="17" fillId="2" borderId="0" xfId="0" applyNumberFormat="1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3" fontId="18" fillId="5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9" fontId="13" fillId="3" borderId="0" xfId="0" applyNumberFormat="1" applyFont="1" applyFill="1" applyAlignment="1">
      <alignment vertical="center"/>
    </xf>
    <xf numFmtId="0" fontId="23" fillId="0" borderId="0" xfId="0" applyFont="1"/>
    <xf numFmtId="9" fontId="8" fillId="6" borderId="0" xfId="1" applyFont="1" applyFill="1" applyBorder="1" applyAlignment="1">
      <alignment horizontal="right" vertical="center"/>
    </xf>
    <xf numFmtId="165" fontId="8" fillId="6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</cellXfs>
  <cellStyles count="2">
    <cellStyle name="Normalny" xfId="0" builtinId="0"/>
    <cellStyle name="Procentowy" xfId="1" builtinId="5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A89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2020167</xdr:colOff>
      <xdr:row>0</xdr:row>
      <xdr:rowOff>0</xdr:rowOff>
    </xdr:from>
    <xdr:to>
      <xdr:col>7</xdr:col>
      <xdr:colOff>251114</xdr:colOff>
      <xdr:row>0</xdr:row>
      <xdr:rowOff>447674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16102E81-2243-4827-BFCA-1BE3E12834B8}"/>
            </a:ext>
          </a:extLst>
        </xdr:cNvPr>
        <xdr:cNvSpPr/>
      </xdr:nvSpPr>
      <xdr:spPr>
        <a:xfrm>
          <a:off x="2115417" y="0"/>
          <a:ext cx="6742833" cy="4476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pl-PL" sz="2400" b="1">
              <a:solidFill>
                <a:schemeClr val="bg1"/>
              </a:solidFill>
            </a:rPr>
            <a:t>FORMULARZ KALKULACYJNY BARAŃSKI DRZWI</a:t>
          </a:r>
        </a:p>
      </xdr:txBody>
    </xdr:sp>
    <xdr:clientData/>
  </xdr:twoCellAnchor>
  <xdr:twoCellAnchor>
    <xdr:from>
      <xdr:col>4</xdr:col>
      <xdr:colOff>1202747</xdr:colOff>
      <xdr:row>1</xdr:row>
      <xdr:rowOff>178234</xdr:rowOff>
    </xdr:from>
    <xdr:to>
      <xdr:col>5</xdr:col>
      <xdr:colOff>697922</xdr:colOff>
      <xdr:row>1</xdr:row>
      <xdr:rowOff>416359</xdr:rowOff>
    </xdr:to>
    <xdr:sp macro="" textlink="G4">
      <xdr:nvSpPr>
        <xdr:cNvPr id="6" name="Prostokąt 5">
          <a:extLst>
            <a:ext uri="{FF2B5EF4-FFF2-40B4-BE49-F238E27FC236}">
              <a16:creationId xmlns:a16="http://schemas.microsoft.com/office/drawing/2014/main" id="{E43BE0E2-5836-4EEA-8661-F2BCB457CBC8}"/>
            </a:ext>
          </a:extLst>
        </xdr:cNvPr>
        <xdr:cNvSpPr/>
      </xdr:nvSpPr>
      <xdr:spPr>
        <a:xfrm>
          <a:off x="6701270" y="628507"/>
          <a:ext cx="1183697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5A0B7D74-BA24-4F40-BD4B-04764DAAD07C}" type="TxLink">
            <a:rPr lang="en-US" sz="1400" b="1" i="0" u="none" strike="noStrike">
              <a:solidFill>
                <a:schemeClr val="bg1"/>
              </a:solidFill>
              <a:latin typeface="+mn-lt"/>
              <a:cs typeface="Rubik" panose="00000500000000000000" pitchFamily="2" charset="-79"/>
            </a:rPr>
            <a:pPr algn="r"/>
            <a:t>2023-06-19</a:t>
          </a:fld>
          <a:endParaRPr lang="pl-PL" sz="1200" b="1">
            <a:solidFill>
              <a:schemeClr val="bg1"/>
            </a:solidFill>
            <a:latin typeface="+mn-lt"/>
            <a:cs typeface="Rubik" panose="00000500000000000000" pitchFamily="2" charset="-79"/>
          </a:endParaRPr>
        </a:p>
      </xdr:txBody>
    </xdr:sp>
    <xdr:clientData/>
  </xdr:twoCellAnchor>
  <xdr:twoCellAnchor>
    <xdr:from>
      <xdr:col>1</xdr:col>
      <xdr:colOff>2509713</xdr:colOff>
      <xdr:row>8</xdr:row>
      <xdr:rowOff>2039</xdr:rowOff>
    </xdr:from>
    <xdr:to>
      <xdr:col>1</xdr:col>
      <xdr:colOff>2653713</xdr:colOff>
      <xdr:row>9</xdr:row>
      <xdr:rowOff>1065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CFB109B-343F-43F2-BD44-11962225E3AC}"/>
            </a:ext>
          </a:extLst>
        </xdr:cNvPr>
        <xdr:cNvSpPr/>
      </xdr:nvSpPr>
      <xdr:spPr>
        <a:xfrm>
          <a:off x="2604963" y="2054244"/>
          <a:ext cx="144000" cy="163548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000" b="1">
              <a:latin typeface="+mn-lt"/>
              <a:cs typeface="Rubik" panose="00000500000000000000" pitchFamily="2" charset="-79"/>
            </a:rPr>
            <a:t>1</a:t>
          </a:r>
        </a:p>
      </xdr:txBody>
    </xdr:sp>
    <xdr:clientData/>
  </xdr:twoCellAnchor>
  <xdr:twoCellAnchor>
    <xdr:from>
      <xdr:col>3</xdr:col>
      <xdr:colOff>403822</xdr:colOff>
      <xdr:row>8</xdr:row>
      <xdr:rowOff>2039</xdr:rowOff>
    </xdr:from>
    <xdr:to>
      <xdr:col>3</xdr:col>
      <xdr:colOff>547822</xdr:colOff>
      <xdr:row>8</xdr:row>
      <xdr:rowOff>162989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56A8A60-40F0-434A-9719-33FA5E2170F6}"/>
            </a:ext>
          </a:extLst>
        </xdr:cNvPr>
        <xdr:cNvSpPr/>
      </xdr:nvSpPr>
      <xdr:spPr>
        <a:xfrm>
          <a:off x="5339504" y="2054244"/>
          <a:ext cx="144000" cy="16095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000" b="1">
              <a:latin typeface="+mn-lt"/>
              <a:cs typeface="Rubik" panose="00000500000000000000" pitchFamily="2" charset="-79"/>
            </a:rPr>
            <a:t>2</a:t>
          </a:r>
        </a:p>
      </xdr:txBody>
    </xdr:sp>
    <xdr:clientData/>
  </xdr:twoCellAnchor>
  <xdr:twoCellAnchor>
    <xdr:from>
      <xdr:col>2</xdr:col>
      <xdr:colOff>546390</xdr:colOff>
      <xdr:row>0</xdr:row>
      <xdr:rowOff>285751</xdr:rowOff>
    </xdr:from>
    <xdr:to>
      <xdr:col>7</xdr:col>
      <xdr:colOff>241589</xdr:colOff>
      <xdr:row>1</xdr:row>
      <xdr:rowOff>140530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C4685E5-C699-4E46-88AE-D8EE53A5D299}"/>
            </a:ext>
          </a:extLst>
        </xdr:cNvPr>
        <xdr:cNvSpPr/>
      </xdr:nvSpPr>
      <xdr:spPr>
        <a:xfrm>
          <a:off x="3317299" y="285751"/>
          <a:ext cx="5531426" cy="305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pl-PL" sz="1800" b="1" i="0">
              <a:solidFill>
                <a:srgbClr val="A89970"/>
              </a:solidFill>
            </a:rPr>
            <a:t>BARAŃSKI PREMIUM DRZWI ZEWNĘTRZNE</a:t>
          </a:r>
          <a:r>
            <a:rPr lang="pl-PL" sz="1800" b="1" i="0" baseline="0">
              <a:solidFill>
                <a:srgbClr val="A89970"/>
              </a:solidFill>
            </a:rPr>
            <a:t> </a:t>
          </a:r>
          <a:endParaRPr lang="pl-PL" sz="1800" b="1" i="0">
            <a:solidFill>
              <a:srgbClr val="A89970"/>
            </a:solidFill>
          </a:endParaRPr>
        </a:p>
      </xdr:txBody>
    </xdr:sp>
    <xdr:clientData/>
  </xdr:twoCellAnchor>
  <xdr:twoCellAnchor>
    <xdr:from>
      <xdr:col>5</xdr:col>
      <xdr:colOff>694458</xdr:colOff>
      <xdr:row>1</xdr:row>
      <xdr:rowOff>180543</xdr:rowOff>
    </xdr:from>
    <xdr:to>
      <xdr:col>7</xdr:col>
      <xdr:colOff>141143</xdr:colOff>
      <xdr:row>1</xdr:row>
      <xdr:rowOff>432543</xdr:rowOff>
    </xdr:to>
    <xdr:sp macro="[0]!Clean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B8B63819-8D66-4D75-8C5E-388C04A074AE}"/>
            </a:ext>
          </a:extLst>
        </xdr:cNvPr>
        <xdr:cNvSpPr/>
      </xdr:nvSpPr>
      <xdr:spPr>
        <a:xfrm>
          <a:off x="7881503" y="630816"/>
          <a:ext cx="866776" cy="252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WYCZYŚĆ</a:t>
          </a:r>
        </a:p>
      </xdr:txBody>
    </xdr:sp>
    <xdr:clientData/>
  </xdr:twoCellAnchor>
  <xdr:twoCellAnchor>
    <xdr:from>
      <xdr:col>5</xdr:col>
      <xdr:colOff>782310</xdr:colOff>
      <xdr:row>86</xdr:row>
      <xdr:rowOff>85725</xdr:rowOff>
    </xdr:from>
    <xdr:to>
      <xdr:col>7</xdr:col>
      <xdr:colOff>150276</xdr:colOff>
      <xdr:row>87</xdr:row>
      <xdr:rowOff>147225</xdr:rowOff>
    </xdr:to>
    <xdr:sp macro="[0]!Drukuj" textlink="">
      <xdr:nvSpPr>
        <xdr:cNvPr id="12" name="Prostokąt: zaokrąglone rogi 11">
          <a:extLst>
            <a:ext uri="{FF2B5EF4-FFF2-40B4-BE49-F238E27FC236}">
              <a16:creationId xmlns:a16="http://schemas.microsoft.com/office/drawing/2014/main" id="{650AB536-C440-4D26-8674-B4283E1661AE}"/>
            </a:ext>
          </a:extLst>
        </xdr:cNvPr>
        <xdr:cNvSpPr/>
      </xdr:nvSpPr>
      <xdr:spPr>
        <a:xfrm>
          <a:off x="7964160" y="15840075"/>
          <a:ext cx="787191" cy="252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DRUKUJ</a:t>
          </a:r>
        </a:p>
      </xdr:txBody>
    </xdr:sp>
    <xdr:clientData/>
  </xdr:twoCellAnchor>
  <xdr:twoCellAnchor>
    <xdr:from>
      <xdr:col>4</xdr:col>
      <xdr:colOff>878677</xdr:colOff>
      <xdr:row>86</xdr:row>
      <xdr:rowOff>85725</xdr:rowOff>
    </xdr:from>
    <xdr:to>
      <xdr:col>5</xdr:col>
      <xdr:colOff>730184</xdr:colOff>
      <xdr:row>87</xdr:row>
      <xdr:rowOff>147225</xdr:rowOff>
    </xdr:to>
    <xdr:sp macro="[0]!ZapiszPDF" textlink="">
      <xdr:nvSpPr>
        <xdr:cNvPr id="13" name="Prostokąt: zaokrąglone rogi 12">
          <a:extLst>
            <a:ext uri="{FF2B5EF4-FFF2-40B4-BE49-F238E27FC236}">
              <a16:creationId xmlns:a16="http://schemas.microsoft.com/office/drawing/2014/main" id="{8F4116C3-6D07-4FF3-A74E-CA43D4DCF74C}"/>
            </a:ext>
          </a:extLst>
        </xdr:cNvPr>
        <xdr:cNvSpPr/>
      </xdr:nvSpPr>
      <xdr:spPr>
        <a:xfrm>
          <a:off x="6374602" y="15840075"/>
          <a:ext cx="1537432" cy="252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EKSPORT DO PDF</a:t>
          </a:r>
        </a:p>
      </xdr:txBody>
    </xdr:sp>
    <xdr:clientData/>
  </xdr:twoCellAnchor>
  <xdr:twoCellAnchor editAs="oneCell">
    <xdr:from>
      <xdr:col>0</xdr:col>
      <xdr:colOff>34638</xdr:colOff>
      <xdr:row>0</xdr:row>
      <xdr:rowOff>8660</xdr:rowOff>
    </xdr:from>
    <xdr:to>
      <xdr:col>1</xdr:col>
      <xdr:colOff>2355274</xdr:colOff>
      <xdr:row>1</xdr:row>
      <xdr:rowOff>458139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372FD6C8-6BC9-414E-8D95-BC2D39ECA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24" b="17071"/>
        <a:stretch/>
      </xdr:blipFill>
      <xdr:spPr>
        <a:xfrm>
          <a:off x="34638" y="8660"/>
          <a:ext cx="2415886" cy="899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ranskidrzwi-my.sharepoint.com/Users/lukas/Desktop/Premium%20Zewn&#281;trzne/Nowy%20kalkulator/Final/Formularz%20kalkulacyjny%20-%20Bara&#324;ski%20Premium%20Drzwi%20Zewn&#281;trzne%20-%20wersja%20202010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Us - katalog 2019"/>
      <sheetName val="Wycena"/>
      <sheetName val="Mapping"/>
      <sheetName val="Kalkulacje"/>
    </sheetNames>
    <sheetDataSet>
      <sheetData sheetId="0" refreshError="1"/>
      <sheetData sheetId="1"/>
      <sheetData sheetId="2" refreshError="1"/>
      <sheetData sheetId="3">
        <row r="3">
          <cell r="D3" t="str">
            <v/>
          </cell>
          <cell r="F3" t="str">
            <v>-</v>
          </cell>
          <cell r="H3">
            <v>78</v>
          </cell>
          <cell r="I3">
            <v>78</v>
          </cell>
          <cell r="M3" t="str">
            <v>Brak (standard)</v>
          </cell>
          <cell r="O3" t="e">
            <v>#N/A</v>
          </cell>
          <cell r="S3" t="str">
            <v>-</v>
          </cell>
          <cell r="T3" t="str">
            <v>-</v>
          </cell>
          <cell r="W3" t="str">
            <v>-</v>
          </cell>
          <cell r="X3" t="str">
            <v>-</v>
          </cell>
          <cell r="AB3" t="str">
            <v>-</v>
          </cell>
          <cell r="AC3" t="str">
            <v>-</v>
          </cell>
          <cell r="AE3" t="str">
            <v/>
          </cell>
          <cell r="AG3" t="str">
            <v>Listwowy ryglowy czteropunktowy</v>
          </cell>
          <cell r="AL3" t="str">
            <v>Podluzne (standard)</v>
          </cell>
          <cell r="AN3" t="str">
            <v>Podluzne (standard)</v>
          </cell>
          <cell r="AQ3">
            <v>90</v>
          </cell>
          <cell r="AR3">
            <v>90</v>
          </cell>
          <cell r="AU3">
            <v>204</v>
          </cell>
          <cell r="AV3">
            <v>204</v>
          </cell>
          <cell r="BB3" t="str">
            <v>-</v>
          </cell>
          <cell r="BC3" t="str">
            <v>-</v>
          </cell>
          <cell r="BE3" t="str">
            <v>Standard patyna</v>
          </cell>
          <cell r="BG3" t="str">
            <v>Standard patyna</v>
          </cell>
          <cell r="BI3" t="str">
            <v>Przylgowe</v>
          </cell>
          <cell r="BJ3" t="str">
            <v>Przylgowe</v>
          </cell>
          <cell r="BL3" t="str">
            <v>Standardowa</v>
          </cell>
          <cell r="BM3" t="str">
            <v>Standardowa</v>
          </cell>
          <cell r="BP3" t="str">
            <v>Tak</v>
          </cell>
          <cell r="BQ3" t="str">
            <v>Tak</v>
          </cell>
          <cell r="BS3" t="str">
            <v/>
          </cell>
          <cell r="BT3" t="str">
            <v>-</v>
          </cell>
          <cell r="BV3" t="str">
            <v/>
          </cell>
          <cell r="BW3" t="str">
            <v>-</v>
          </cell>
          <cell r="BY3" t="str">
            <v>Dab prosty</v>
          </cell>
          <cell r="BZ3" t="str">
            <v>Dab prosty</v>
          </cell>
          <cell r="CB3" t="str">
            <v/>
          </cell>
          <cell r="CC3" t="str">
            <v>-</v>
          </cell>
          <cell r="CE3" t="str">
            <v>-</v>
          </cell>
          <cell r="CF3" t="str">
            <v>-</v>
          </cell>
          <cell r="CH3" t="str">
            <v>-</v>
          </cell>
          <cell r="CI3" t="str">
            <v>-</v>
          </cell>
          <cell r="CK3" t="str">
            <v>-</v>
          </cell>
          <cell r="CM3" t="str">
            <v>-</v>
          </cell>
          <cell r="CO3" t="str">
            <v>-</v>
          </cell>
          <cell r="CQ3" t="str">
            <v>-</v>
          </cell>
          <cell r="CS3" t="str">
            <v>-</v>
          </cell>
          <cell r="CT3" t="str">
            <v>-</v>
          </cell>
          <cell r="CV3" t="str">
            <v>W ościeżnicy</v>
          </cell>
          <cell r="CW3" t="str">
            <v>W ościeżnicy</v>
          </cell>
          <cell r="CY3" t="str">
            <v>W ościeżnicy</v>
          </cell>
          <cell r="CZ3" t="str">
            <v>W ościeżnicy</v>
          </cell>
          <cell r="DC3" t="str">
            <v>-</v>
          </cell>
          <cell r="DE3" t="str">
            <v>-</v>
          </cell>
          <cell r="DH3" t="str">
            <v>-</v>
          </cell>
          <cell r="DJ3" t="str">
            <v>Aluminiowy (standard)</v>
          </cell>
          <cell r="DK3" t="e">
            <v>#N/A</v>
          </cell>
          <cell r="DM3" t="str">
            <v>Pojedynczy (standard)</v>
          </cell>
          <cell r="DN3" t="e">
            <v>#N/A</v>
          </cell>
        </row>
        <row r="4">
          <cell r="D4" t="str">
            <v/>
          </cell>
          <cell r="F4" t="str">
            <v/>
          </cell>
          <cell r="H4">
            <v>105</v>
          </cell>
          <cell r="I4">
            <v>105</v>
          </cell>
          <cell r="M4" t="str">
            <v>Zestaw elektronik z zamkiem automatycznym do antab</v>
          </cell>
          <cell r="O4" t="e">
            <v>#N/A</v>
          </cell>
          <cell r="S4" t="str">
            <v/>
          </cell>
          <cell r="T4" t="str">
            <v/>
          </cell>
          <cell r="W4" t="str">
            <v/>
          </cell>
          <cell r="X4" t="str">
            <v/>
          </cell>
          <cell r="AB4" t="str">
            <v/>
          </cell>
          <cell r="AC4" t="str">
            <v/>
          </cell>
          <cell r="AE4" t="str">
            <v/>
          </cell>
          <cell r="AG4" t="str">
            <v>Listwowy automat czteropunktowy</v>
          </cell>
          <cell r="AL4" t="str">
            <v/>
          </cell>
          <cell r="AN4" t="str">
            <v/>
          </cell>
          <cell r="AQ4" t="str">
            <v/>
          </cell>
          <cell r="AR4" t="str">
            <v/>
          </cell>
          <cell r="AU4" t="str">
            <v/>
          </cell>
          <cell r="AV4" t="str">
            <v/>
          </cell>
          <cell r="BB4" t="str">
            <v/>
          </cell>
          <cell r="BC4" t="str">
            <v/>
          </cell>
          <cell r="BE4" t="str">
            <v>Standard satyna</v>
          </cell>
          <cell r="BG4" t="str">
            <v>Standard satyna</v>
          </cell>
          <cell r="BI4" t="str">
            <v/>
          </cell>
          <cell r="BJ4" t="str">
            <v/>
          </cell>
          <cell r="BL4" t="str">
            <v/>
          </cell>
          <cell r="BM4" t="str">
            <v/>
          </cell>
          <cell r="BP4" t="str">
            <v>-</v>
          </cell>
          <cell r="BQ4" t="str">
            <v>-</v>
          </cell>
          <cell r="BS4" t="str">
            <v>-</v>
          </cell>
          <cell r="BT4" t="str">
            <v/>
          </cell>
          <cell r="BV4" t="str">
            <v>-</v>
          </cell>
          <cell r="BW4" t="str">
            <v/>
          </cell>
          <cell r="BY4" t="str">
            <v/>
          </cell>
          <cell r="BZ4" t="str">
            <v/>
          </cell>
          <cell r="CB4" t="str">
            <v>-</v>
          </cell>
          <cell r="CC4" t="str">
            <v/>
          </cell>
          <cell r="CE4" t="str">
            <v>Brak (pełne)</v>
          </cell>
          <cell r="CF4" t="str">
            <v>Brak (pełne)</v>
          </cell>
          <cell r="CH4" t="str">
            <v>Brak (pełne)</v>
          </cell>
          <cell r="CI4" t="str">
            <v>Brak (pełne)</v>
          </cell>
          <cell r="CK4" t="str">
            <v>Brak (pełne)</v>
          </cell>
          <cell r="CM4" t="str">
            <v>Brak (pełne)</v>
          </cell>
          <cell r="CO4" t="str">
            <v>Z jednej strony skrzydła</v>
          </cell>
          <cell r="CQ4" t="str">
            <v>Z jednej strony skrzydła</v>
          </cell>
          <cell r="CS4" t="str">
            <v>Skrzydło</v>
          </cell>
          <cell r="CT4" t="str">
            <v>Skrzydło</v>
          </cell>
          <cell r="CV4" t="str">
            <v>W imitacji stałej</v>
          </cell>
          <cell r="CW4" t="str">
            <v>W imitacji stałej</v>
          </cell>
          <cell r="CY4" t="str">
            <v>Imitacja skrzydła stała</v>
          </cell>
          <cell r="CZ4" t="str">
            <v>Imitacja skrzydła stała</v>
          </cell>
          <cell r="DC4" t="str">
            <v>Na ościeżnicy z zewnątrz</v>
          </cell>
          <cell r="DE4" t="str">
            <v>Na ościeżnicy z zewnątrz</v>
          </cell>
          <cell r="DG4" t="str">
            <v>-</v>
          </cell>
          <cell r="DH4" t="str">
            <v/>
          </cell>
          <cell r="DJ4" t="e">
            <v>#N/A</v>
          </cell>
          <cell r="DK4" t="e">
            <v>#N/A</v>
          </cell>
          <cell r="DM4" t="str">
            <v>Dwukolor</v>
          </cell>
          <cell r="DN4" t="e">
            <v>#N/A</v>
          </cell>
        </row>
        <row r="5">
          <cell r="D5" t="str">
            <v/>
          </cell>
          <cell r="F5" t="str">
            <v/>
          </cell>
          <cell r="M5" t="str">
            <v>Zestaw elektronik z zamkiem ryglowym do antab</v>
          </cell>
          <cell r="O5" t="e">
            <v>#N/A</v>
          </cell>
          <cell r="S5" t="str">
            <v/>
          </cell>
          <cell r="T5" t="str">
            <v/>
          </cell>
          <cell r="W5" t="str">
            <v/>
          </cell>
          <cell r="X5" t="str">
            <v/>
          </cell>
          <cell r="AB5" t="str">
            <v/>
          </cell>
          <cell r="AC5" t="str">
            <v/>
          </cell>
          <cell r="AE5" t="str">
            <v>Listwowy ryglowy czteropunktowy</v>
          </cell>
          <cell r="AG5" t="str">
            <v>Listwowy hakowy czteropunktowy</v>
          </cell>
          <cell r="AQ5" t="str">
            <v/>
          </cell>
          <cell r="AR5" t="str">
            <v/>
          </cell>
          <cell r="AU5" t="str">
            <v/>
          </cell>
          <cell r="AV5" t="str">
            <v/>
          </cell>
          <cell r="BB5" t="str">
            <v/>
          </cell>
          <cell r="BC5" t="str">
            <v/>
          </cell>
          <cell r="BE5" t="str">
            <v>Klasy B czarna</v>
          </cell>
          <cell r="BG5" t="str">
            <v>Klasy B czarna</v>
          </cell>
          <cell r="BI5" t="str">
            <v/>
          </cell>
          <cell r="BJ5" t="str">
            <v/>
          </cell>
          <cell r="BY5" t="str">
            <v/>
          </cell>
          <cell r="BZ5" t="str">
            <v/>
          </cell>
          <cell r="CE5" t="str">
            <v>Brąz refleks</v>
          </cell>
          <cell r="CF5" t="str">
            <v>Brąz refleks</v>
          </cell>
          <cell r="CH5" t="str">
            <v>Brąz refleks</v>
          </cell>
          <cell r="CI5" t="str">
            <v>Brąz refleks</v>
          </cell>
          <cell r="CK5" t="str">
            <v>Brąz refleks</v>
          </cell>
          <cell r="CM5" t="str">
            <v>Brąz refleks</v>
          </cell>
          <cell r="CO5" t="str">
            <v>Z dwóch stron skrzydła</v>
          </cell>
          <cell r="CQ5" t="str">
            <v>Z dwóch stron skrzydła</v>
          </cell>
          <cell r="CS5" t="str">
            <v/>
          </cell>
          <cell r="CT5" t="str">
            <v/>
          </cell>
          <cell r="CV5" t="str">
            <v>W łuku</v>
          </cell>
          <cell r="CW5" t="str">
            <v>W łuku</v>
          </cell>
          <cell r="CY5" t="str">
            <v>Imitacja skrzydła ruchoma</v>
          </cell>
          <cell r="CZ5" t="str">
            <v>Imitacja skrzydła ruchoma</v>
          </cell>
          <cell r="DC5" t="str">
            <v>Na ościeżnicy dwie strony</v>
          </cell>
          <cell r="DE5" t="str">
            <v>Na ościeżnicy dwie strony</v>
          </cell>
          <cell r="DG5" t="str">
            <v/>
          </cell>
          <cell r="DH5" t="str">
            <v/>
          </cell>
          <cell r="DJ5" t="str">
            <v>Drewniany z nakładką aluminową</v>
          </cell>
          <cell r="DK5" t="e">
            <v>#N/A</v>
          </cell>
          <cell r="DM5" t="e">
            <v>#N/A</v>
          </cell>
          <cell r="DN5" t="e">
            <v>#N/A</v>
          </cell>
        </row>
        <row r="6">
          <cell r="D6" t="str">
            <v/>
          </cell>
          <cell r="F6" t="str">
            <v/>
          </cell>
          <cell r="M6" t="str">
            <v>Zestaw czytnik linii papilarnych</v>
          </cell>
          <cell r="O6" t="e">
            <v>#N/A</v>
          </cell>
          <cell r="S6" t="str">
            <v/>
          </cell>
          <cell r="T6" t="str">
            <v/>
          </cell>
          <cell r="W6" t="str">
            <v/>
          </cell>
          <cell r="X6" t="str">
            <v/>
          </cell>
          <cell r="AC6" t="str">
            <v/>
          </cell>
          <cell r="AE6" t="str">
            <v>Listwowy automat czteropunktowy</v>
          </cell>
          <cell r="AG6" t="str">
            <v/>
          </cell>
          <cell r="AQ6" t="str">
            <v/>
          </cell>
          <cell r="AR6" t="str">
            <v/>
          </cell>
          <cell r="AU6" t="str">
            <v/>
          </cell>
          <cell r="AV6" t="str">
            <v/>
          </cell>
          <cell r="BB6" t="str">
            <v/>
          </cell>
          <cell r="BC6" t="str">
            <v/>
          </cell>
          <cell r="BE6" t="str">
            <v>Klasy C patyna</v>
          </cell>
          <cell r="BG6" t="str">
            <v>Klasy C patyna</v>
          </cell>
          <cell r="CE6" t="str">
            <v>Grafit refleks</v>
          </cell>
          <cell r="CF6" t="str">
            <v>Grafit refleks</v>
          </cell>
          <cell r="CH6" t="str">
            <v>Grafit refleks</v>
          </cell>
          <cell r="CI6" t="str">
            <v>Grafit refleks</v>
          </cell>
          <cell r="CK6" t="str">
            <v>Grafit refleks</v>
          </cell>
          <cell r="CM6" t="str">
            <v>Grafit refleks</v>
          </cell>
          <cell r="CO6" t="str">
            <v/>
          </cell>
          <cell r="CQ6" t="str">
            <v/>
          </cell>
          <cell r="CS6" t="str">
            <v/>
          </cell>
          <cell r="CT6" t="str">
            <v/>
          </cell>
          <cell r="CV6" t="str">
            <v>-</v>
          </cell>
          <cell r="CW6" t="str">
            <v>-</v>
          </cell>
          <cell r="CY6" t="str">
            <v>-</v>
          </cell>
          <cell r="CZ6" t="str">
            <v>-</v>
          </cell>
          <cell r="DC6" t="str">
            <v/>
          </cell>
          <cell r="DE6" t="str">
            <v/>
          </cell>
          <cell r="DG6" t="str">
            <v/>
          </cell>
          <cell r="DH6" t="str">
            <v/>
          </cell>
          <cell r="DM6" t="str">
            <v>Więcej niż 2 kolory</v>
          </cell>
          <cell r="DN6" t="e">
            <v>#N/A</v>
          </cell>
        </row>
        <row r="7">
          <cell r="D7" t="str">
            <v/>
          </cell>
          <cell r="F7" t="str">
            <v/>
          </cell>
          <cell r="M7" t="str">
            <v>Zestaw czytnik RFID</v>
          </cell>
          <cell r="O7" t="e">
            <v>#N/A</v>
          </cell>
          <cell r="S7" t="str">
            <v/>
          </cell>
          <cell r="T7" t="str">
            <v/>
          </cell>
          <cell r="W7" t="str">
            <v/>
          </cell>
          <cell r="X7" t="str">
            <v/>
          </cell>
          <cell r="AC7" t="str">
            <v/>
          </cell>
          <cell r="AE7" t="str">
            <v>Listwowy hakowy czteropunktowy</v>
          </cell>
          <cell r="AG7" t="str">
            <v/>
          </cell>
          <cell r="AQ7" t="str">
            <v/>
          </cell>
          <cell r="AR7" t="str">
            <v/>
          </cell>
          <cell r="AU7" t="str">
            <v/>
          </cell>
          <cell r="AV7" t="str">
            <v/>
          </cell>
          <cell r="BB7" t="str">
            <v/>
          </cell>
          <cell r="BC7" t="str">
            <v/>
          </cell>
          <cell r="BE7" t="str">
            <v>Klasy C satyna</v>
          </cell>
          <cell r="BG7" t="str">
            <v>Klasy C satyna</v>
          </cell>
          <cell r="CE7" t="str">
            <v>Lustro weneckie</v>
          </cell>
          <cell r="CF7" t="str">
            <v>Lustro weneckie</v>
          </cell>
          <cell r="CH7" t="str">
            <v>Lustro weneckie</v>
          </cell>
          <cell r="CI7" t="str">
            <v>Lustro weneckie</v>
          </cell>
          <cell r="CK7" t="str">
            <v>Lustro weneckie</v>
          </cell>
          <cell r="CM7" t="str">
            <v>Lustro weneckie</v>
          </cell>
          <cell r="CO7" t="str">
            <v/>
          </cell>
          <cell r="CQ7" t="str">
            <v/>
          </cell>
          <cell r="DC7" t="str">
            <v/>
          </cell>
          <cell r="DE7" t="str">
            <v/>
          </cell>
        </row>
        <row r="8">
          <cell r="D8" t="str">
            <v/>
          </cell>
          <cell r="F8" t="str">
            <v/>
          </cell>
          <cell r="M8" t="str">
            <v>Zestaw szklana klawiatura Bluetooth</v>
          </cell>
          <cell r="O8" t="e">
            <v>#N/A</v>
          </cell>
          <cell r="S8" t="str">
            <v/>
          </cell>
          <cell r="T8" t="str">
            <v/>
          </cell>
          <cell r="W8" t="str">
            <v/>
          </cell>
          <cell r="X8" t="str">
            <v/>
          </cell>
          <cell r="AC8" t="str">
            <v/>
          </cell>
          <cell r="AE8" t="str">
            <v/>
          </cell>
          <cell r="AG8" t="str">
            <v/>
          </cell>
          <cell r="AU8" t="str">
            <v/>
          </cell>
          <cell r="AV8" t="str">
            <v/>
          </cell>
          <cell r="BB8" t="str">
            <v/>
          </cell>
          <cell r="BC8" t="str">
            <v/>
          </cell>
          <cell r="BE8" t="str">
            <v>Klasy C czarna</v>
          </cell>
          <cell r="BG8" t="str">
            <v>Klasy C czarna</v>
          </cell>
          <cell r="CE8" t="str">
            <v>Mleczne</v>
          </cell>
          <cell r="CF8" t="str">
            <v>Mleczne</v>
          </cell>
          <cell r="CH8" t="str">
            <v>Mleczne</v>
          </cell>
          <cell r="CI8" t="str">
            <v>Mleczne</v>
          </cell>
          <cell r="CK8" t="str">
            <v>Mleczne</v>
          </cell>
          <cell r="CM8" t="str">
            <v>Mleczne</v>
          </cell>
          <cell r="DC8" t="str">
            <v/>
          </cell>
          <cell r="DE8" t="str">
            <v/>
          </cell>
        </row>
        <row r="9">
          <cell r="D9" t="str">
            <v/>
          </cell>
          <cell r="F9" t="str">
            <v/>
          </cell>
          <cell r="M9" t="e">
            <v>#N/A</v>
          </cell>
          <cell r="O9" t="e">
            <v>#N/A</v>
          </cell>
          <cell r="S9" t="str">
            <v/>
          </cell>
          <cell r="T9" t="str">
            <v/>
          </cell>
          <cell r="W9" t="str">
            <v/>
          </cell>
          <cell r="X9" t="str">
            <v/>
          </cell>
          <cell r="AC9" t="str">
            <v/>
          </cell>
          <cell r="AE9" t="str">
            <v/>
          </cell>
          <cell r="AG9" t="str">
            <v/>
          </cell>
          <cell r="AV9" t="str">
            <v/>
          </cell>
          <cell r="BB9" t="str">
            <v/>
          </cell>
          <cell r="BC9" t="str">
            <v/>
          </cell>
          <cell r="CE9" t="str">
            <v>Piaskowane refleks</v>
          </cell>
          <cell r="CF9" t="str">
            <v>Piaskowane refleks</v>
          </cell>
          <cell r="CH9" t="str">
            <v>Piaskowane refleks</v>
          </cell>
          <cell r="CI9" t="str">
            <v>Piaskowane refleks</v>
          </cell>
          <cell r="CK9" t="str">
            <v>Piaskowane refleks</v>
          </cell>
          <cell r="CM9" t="str">
            <v>Piaskowane refleks</v>
          </cell>
          <cell r="DC9" t="str">
            <v/>
          </cell>
          <cell r="DE9" t="str">
            <v/>
          </cell>
        </row>
        <row r="10">
          <cell r="D10" t="str">
            <v/>
          </cell>
          <cell r="F10" t="str">
            <v/>
          </cell>
          <cell r="S10" t="str">
            <v/>
          </cell>
          <cell r="T10" t="str">
            <v/>
          </cell>
          <cell r="AC10" t="str">
            <v/>
          </cell>
          <cell r="AE10" t="str">
            <v/>
          </cell>
          <cell r="AG10" t="str">
            <v/>
          </cell>
          <cell r="BB10" t="str">
            <v/>
          </cell>
          <cell r="BC10" t="str">
            <v/>
          </cell>
          <cell r="CE10" t="str">
            <v>Dyskretne brąz refleks</v>
          </cell>
          <cell r="CF10" t="str">
            <v>Dyskretne brąz refleks</v>
          </cell>
          <cell r="CH10" t="str">
            <v>Dyskretne brąz refleks</v>
          </cell>
          <cell r="CI10" t="str">
            <v>Dyskretne brąz refleks</v>
          </cell>
          <cell r="CK10" t="str">
            <v/>
          </cell>
          <cell r="CM10" t="str">
            <v>Nietypowe</v>
          </cell>
          <cell r="DC10" t="str">
            <v/>
          </cell>
          <cell r="DE10" t="str">
            <v/>
          </cell>
        </row>
        <row r="11">
          <cell r="D11" t="str">
            <v>-</v>
          </cell>
          <cell r="F11" t="str">
            <v/>
          </cell>
          <cell r="S11" t="str">
            <v/>
          </cell>
          <cell r="T11" t="str">
            <v/>
          </cell>
          <cell r="AC11" t="str">
            <v/>
          </cell>
          <cell r="AE11" t="str">
            <v/>
          </cell>
          <cell r="AG11" t="str">
            <v/>
          </cell>
          <cell r="BB11" t="str">
            <v/>
          </cell>
          <cell r="BC11" t="str">
            <v/>
          </cell>
          <cell r="CE11" t="str">
            <v>Dyskretne grafit refleks</v>
          </cell>
          <cell r="CF11" t="str">
            <v>Dyskretne grafit refleks</v>
          </cell>
          <cell r="CH11" t="str">
            <v>Dyskretne grafit refleks</v>
          </cell>
          <cell r="CI11" t="str">
            <v>Dyskretne grafit refleks</v>
          </cell>
          <cell r="CK11" t="str">
            <v/>
          </cell>
          <cell r="CM11" t="str">
            <v/>
          </cell>
          <cell r="DC11" t="str">
            <v/>
          </cell>
          <cell r="DE11" t="str">
            <v/>
          </cell>
        </row>
        <row r="12">
          <cell r="S12" t="str">
            <v/>
          </cell>
          <cell r="T12" t="str">
            <v/>
          </cell>
          <cell r="AE12" t="str">
            <v/>
          </cell>
          <cell r="AG12" t="str">
            <v/>
          </cell>
          <cell r="BB12" t="str">
            <v/>
          </cell>
          <cell r="BC12" t="str">
            <v/>
          </cell>
          <cell r="CE12" t="str">
            <v>Dyskretne lustrzane</v>
          </cell>
          <cell r="CF12" t="str">
            <v>Dyskretne lustrzane</v>
          </cell>
          <cell r="CH12" t="str">
            <v>Dyskretne lustrzane</v>
          </cell>
          <cell r="CI12" t="str">
            <v>Dyskretne lustrzane</v>
          </cell>
          <cell r="CK12" t="str">
            <v/>
          </cell>
          <cell r="CM12" t="str">
            <v/>
          </cell>
        </row>
        <row r="13">
          <cell r="S13" t="str">
            <v/>
          </cell>
          <cell r="T13" t="str">
            <v/>
          </cell>
          <cell r="AE13" t="str">
            <v/>
          </cell>
          <cell r="AG13" t="str">
            <v/>
          </cell>
          <cell r="BB13" t="str">
            <v/>
          </cell>
          <cell r="BC13" t="str">
            <v/>
          </cell>
          <cell r="CE13" t="str">
            <v>Dyskretne lustro weneckie w głębi</v>
          </cell>
          <cell r="CF13" t="str">
            <v>Dyskretne lustro weneckie w głębi</v>
          </cell>
          <cell r="CH13" t="str">
            <v>Dyskretne lustro weneckie w głębi</v>
          </cell>
          <cell r="CI13" t="str">
            <v>Dyskretne lustro weneckie w głębi</v>
          </cell>
          <cell r="CK13" t="str">
            <v/>
          </cell>
          <cell r="CM13" t="str">
            <v/>
          </cell>
        </row>
        <row r="14">
          <cell r="S14" t="str">
            <v/>
          </cell>
          <cell r="T14" t="str">
            <v/>
          </cell>
          <cell r="BB14" t="str">
            <v/>
          </cell>
          <cell r="BC14" t="str">
            <v/>
          </cell>
          <cell r="CE14" t="str">
            <v>Nietypowe</v>
          </cell>
          <cell r="CF14" t="str">
            <v>Nietypowe</v>
          </cell>
          <cell r="CH14" t="str">
            <v>Nietypowe</v>
          </cell>
          <cell r="CI14" t="str">
            <v>Nietypowe</v>
          </cell>
          <cell r="CK14" t="str">
            <v>Nietypowe</v>
          </cell>
          <cell r="CM14" t="str">
            <v/>
          </cell>
        </row>
        <row r="15">
          <cell r="S15" t="str">
            <v/>
          </cell>
          <cell r="T15" t="str">
            <v/>
          </cell>
          <cell r="BB15" t="str">
            <v/>
          </cell>
          <cell r="BC15" t="str">
            <v/>
          </cell>
        </row>
        <row r="16">
          <cell r="S16" t="str">
            <v/>
          </cell>
          <cell r="T16" t="str">
            <v/>
          </cell>
        </row>
        <row r="17">
          <cell r="S17" t="str">
            <v/>
          </cell>
          <cell r="T17" t="str">
            <v/>
          </cell>
        </row>
        <row r="18">
          <cell r="S18" t="str">
            <v/>
          </cell>
          <cell r="T18" t="str">
            <v/>
          </cell>
        </row>
        <row r="19">
          <cell r="S19" t="str">
            <v/>
          </cell>
          <cell r="T19" t="str">
            <v/>
          </cell>
        </row>
        <row r="20">
          <cell r="S20" t="str">
            <v/>
          </cell>
          <cell r="T20" t="str">
            <v/>
          </cell>
        </row>
        <row r="21">
          <cell r="S21" t="str">
            <v/>
          </cell>
          <cell r="T21" t="str">
            <v/>
          </cell>
        </row>
        <row r="22">
          <cell r="S22" t="str">
            <v/>
          </cell>
          <cell r="T22" t="str">
            <v/>
          </cell>
        </row>
        <row r="23">
          <cell r="S23" t="str">
            <v/>
          </cell>
          <cell r="T23" t="str">
            <v/>
          </cell>
        </row>
        <row r="24">
          <cell r="S24" t="str">
            <v/>
          </cell>
          <cell r="T24" t="str">
            <v/>
          </cell>
        </row>
        <row r="25">
          <cell r="S25" t="str">
            <v/>
          </cell>
          <cell r="T25" t="str">
            <v/>
          </cell>
        </row>
        <row r="26">
          <cell r="S26" t="str">
            <v/>
          </cell>
          <cell r="T26" t="str">
            <v/>
          </cell>
        </row>
        <row r="27">
          <cell r="S27" t="str">
            <v/>
          </cell>
          <cell r="T27" t="str">
            <v/>
          </cell>
        </row>
        <row r="28">
          <cell r="S28" t="str">
            <v/>
          </cell>
          <cell r="T28" t="str">
            <v/>
          </cell>
        </row>
        <row r="29">
          <cell r="S29" t="str">
            <v/>
          </cell>
          <cell r="T29" t="str">
            <v/>
          </cell>
        </row>
        <row r="30">
          <cell r="S30" t="str">
            <v/>
          </cell>
          <cell r="T30" t="str">
            <v/>
          </cell>
        </row>
        <row r="31">
          <cell r="S31" t="str">
            <v/>
          </cell>
          <cell r="T31" t="str">
            <v/>
          </cell>
        </row>
        <row r="32">
          <cell r="S32" t="str">
            <v/>
          </cell>
          <cell r="T32" t="str">
            <v/>
          </cell>
        </row>
        <row r="33">
          <cell r="S33" t="str">
            <v/>
          </cell>
          <cell r="T33" t="str">
            <v/>
          </cell>
        </row>
        <row r="34">
          <cell r="S34" t="str">
            <v/>
          </cell>
          <cell r="T34" t="str">
            <v/>
          </cell>
        </row>
        <row r="35">
          <cell r="S35" t="str">
            <v/>
          </cell>
          <cell r="T35" t="str">
            <v/>
          </cell>
        </row>
        <row r="36">
          <cell r="S36" t="str">
            <v/>
          </cell>
          <cell r="T36" t="str">
            <v/>
          </cell>
        </row>
        <row r="37">
          <cell r="S37" t="str">
            <v/>
          </cell>
          <cell r="T37" t="str">
            <v/>
          </cell>
        </row>
        <row r="38">
          <cell r="S38" t="str">
            <v/>
          </cell>
          <cell r="T3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936B-49AE-4BD6-BAC9-E7DB823264E0}">
  <sheetPr codeName="Arkusz1">
    <pageSetUpPr fitToPage="1"/>
  </sheetPr>
  <dimension ref="A1:XFC88"/>
  <sheetViews>
    <sheetView tabSelected="1" zoomScale="110" zoomScaleNormal="110" workbookViewId="0">
      <pane ySplit="3" topLeftCell="A4" activePane="bottomLeft" state="frozen"/>
      <selection activeCell="R137" sqref="R137"/>
      <selection pane="bottomLeft" activeCell="C5" sqref="C5"/>
    </sheetView>
  </sheetViews>
  <sheetFormatPr defaultColWidth="0" defaultRowHeight="14.5" zeroHeight="1" outlineLevelRow="1" x14ac:dyDescent="0.35"/>
  <cols>
    <col min="1" max="1" width="1.453125" customWidth="1"/>
    <col min="2" max="2" width="40.08984375" customWidth="1"/>
    <col min="3" max="3" width="32.453125" customWidth="1"/>
    <col min="4" max="4" width="8.453125" customWidth="1"/>
    <col min="5" max="5" width="25.36328125" customWidth="1"/>
    <col min="6" max="6" width="21.36328125" customWidth="1"/>
    <col min="7" max="7" width="4.36328125" hidden="1" customWidth="1"/>
    <col min="8" max="8" width="3.90625" style="19" customWidth="1"/>
    <col min="9" max="16383" width="9.08984375" hidden="1"/>
    <col min="16384" max="16384" width="14.90625" hidden="1" customWidth="1"/>
  </cols>
  <sheetData>
    <row r="1" spans="1:8" ht="35.25" customHeight="1" x14ac:dyDescent="0.35">
      <c r="A1" s="1"/>
      <c r="B1" s="20"/>
      <c r="C1" s="20"/>
      <c r="D1" s="20"/>
      <c r="E1" s="20"/>
      <c r="F1" s="21"/>
      <c r="G1" s="20"/>
      <c r="H1" s="1"/>
    </row>
    <row r="2" spans="1:8" ht="36.75" customHeight="1" x14ac:dyDescent="0.35">
      <c r="A2" s="1"/>
      <c r="B2" s="2"/>
      <c r="C2" s="3"/>
      <c r="D2" s="3"/>
      <c r="E2" s="4"/>
      <c r="F2" s="5"/>
      <c r="G2" s="1"/>
      <c r="H2" s="1"/>
    </row>
    <row r="3" spans="1:8" x14ac:dyDescent="0.35">
      <c r="A3" s="27"/>
      <c r="B3" s="30" t="s">
        <v>0</v>
      </c>
      <c r="C3" s="30" t="s">
        <v>1</v>
      </c>
      <c r="D3" s="30"/>
      <c r="E3" s="30" t="s">
        <v>2</v>
      </c>
      <c r="F3" s="31" t="s">
        <v>3</v>
      </c>
      <c r="G3" s="25"/>
      <c r="H3" s="32"/>
    </row>
    <row r="4" spans="1:8" ht="12" customHeight="1" x14ac:dyDescent="0.35">
      <c r="A4" s="6"/>
      <c r="B4" s="40" t="s">
        <v>4</v>
      </c>
      <c r="C4" s="41"/>
      <c r="D4" s="41"/>
      <c r="E4" s="38"/>
      <c r="F4" s="42"/>
      <c r="G4" s="43">
        <f ca="1">TODAY()</f>
        <v>45096</v>
      </c>
      <c r="H4" s="44"/>
    </row>
    <row r="5" spans="1:8" ht="12" customHeight="1" x14ac:dyDescent="0.35">
      <c r="A5" s="6"/>
      <c r="B5" s="39" t="s">
        <v>5</v>
      </c>
      <c r="C5" s="37" t="s">
        <v>15</v>
      </c>
      <c r="D5" s="37"/>
      <c r="E5" s="38" t="s">
        <v>781</v>
      </c>
      <c r="F5" s="36">
        <f>IFERROR(VLOOKUP(C5,SKU!$B$1:$C$1030,2,0),0)</f>
        <v>0</v>
      </c>
      <c r="G5" s="45"/>
      <c r="H5" s="44"/>
    </row>
    <row r="6" spans="1:8" ht="12" customHeight="1" x14ac:dyDescent="0.35">
      <c r="A6" s="6"/>
      <c r="B6" s="39" t="s">
        <v>7</v>
      </c>
      <c r="C6" s="34" t="s">
        <v>15</v>
      </c>
      <c r="D6" s="34"/>
      <c r="E6" s="38" t="s">
        <v>781</v>
      </c>
      <c r="F6" s="36">
        <f ca="1">IFERROR(VLOOKUP(C6,Mapping!$M$3:$O$10,2,0),0)</f>
        <v>0</v>
      </c>
      <c r="G6" s="18"/>
      <c r="H6" s="44"/>
    </row>
    <row r="7" spans="1:8" ht="12" customHeight="1" x14ac:dyDescent="0.35">
      <c r="A7" s="6"/>
      <c r="B7" s="39" t="s">
        <v>9</v>
      </c>
      <c r="C7" s="34" t="s">
        <v>292</v>
      </c>
      <c r="D7" s="34"/>
      <c r="E7" s="38"/>
      <c r="F7" s="36">
        <f>IFERROR(VLOOKUP(C7,Mapping!$Q$3:$R$8,2,0),0)</f>
        <v>0</v>
      </c>
      <c r="G7" s="18"/>
      <c r="H7" s="44"/>
    </row>
    <row r="8" spans="1:8" ht="12" customHeight="1" x14ac:dyDescent="0.35">
      <c r="A8" s="6"/>
      <c r="B8" s="39" t="s">
        <v>10</v>
      </c>
      <c r="C8" s="34" t="s">
        <v>289</v>
      </c>
      <c r="D8" s="34"/>
      <c r="E8" s="38"/>
      <c r="F8" s="36">
        <f>IFERROR(VLOOKUP(C8,Mapping!$V$3:$W$6,2,0),0)</f>
        <v>0</v>
      </c>
      <c r="G8" s="18"/>
      <c r="H8" s="44"/>
    </row>
    <row r="9" spans="1:8" ht="12" customHeight="1" x14ac:dyDescent="0.35">
      <c r="A9" s="6"/>
      <c r="B9" s="39" t="s">
        <v>11</v>
      </c>
      <c r="C9" s="34" t="s">
        <v>15</v>
      </c>
      <c r="D9" s="34"/>
      <c r="E9" s="35" t="s">
        <v>15</v>
      </c>
      <c r="F9" s="36">
        <f>MAX(IFERROR(VLOOKUP(E9,Mapping!$Y$3:$Z$229,2,0),0),IFERROR((VLOOKUP(C9,Mapping!$Y$3:$Z$229,2,0)),0))</f>
        <v>0</v>
      </c>
      <c r="G9" s="18"/>
      <c r="H9" s="44"/>
    </row>
    <row r="10" spans="1:8" ht="12" customHeight="1" x14ac:dyDescent="0.35">
      <c r="A10" s="6"/>
      <c r="B10" s="39" t="s">
        <v>14</v>
      </c>
      <c r="C10" s="34" t="s">
        <v>15</v>
      </c>
      <c r="D10" s="34"/>
      <c r="E10" s="38"/>
      <c r="F10" s="36">
        <f>IFERROR(VLOOKUP(C10,Mapping!$AE$3:$AF$4,2,0),0)</f>
        <v>0</v>
      </c>
      <c r="G10" s="18"/>
      <c r="H10" s="44"/>
    </row>
    <row r="11" spans="1:8" ht="12" customHeight="1" x14ac:dyDescent="0.35">
      <c r="A11" s="6"/>
      <c r="B11" s="39" t="s">
        <v>13</v>
      </c>
      <c r="C11" s="34" t="s">
        <v>15</v>
      </c>
      <c r="D11" s="34"/>
      <c r="E11" s="38"/>
      <c r="F11" s="36">
        <f>IFERROR(VLOOKUP(C11,Mapping!$AI$3:$AJ$7,2,0)*IFERROR((VLOOKUP(C42,Mapping!$ET$3:$EU$8,2,1)+1),1),0)</f>
        <v>0</v>
      </c>
      <c r="G11" s="18"/>
      <c r="H11" s="44"/>
    </row>
    <row r="12" spans="1:8" ht="3.75" customHeight="1" x14ac:dyDescent="0.35">
      <c r="A12" s="6"/>
      <c r="B12" s="41"/>
      <c r="C12" s="41"/>
      <c r="D12" s="41"/>
      <c r="E12" s="38"/>
      <c r="F12" s="42"/>
      <c r="G12" s="18"/>
      <c r="H12" s="44"/>
    </row>
    <row r="13" spans="1:8" ht="12" customHeight="1" x14ac:dyDescent="0.35">
      <c r="A13" s="6"/>
      <c r="B13" s="40" t="s">
        <v>16</v>
      </c>
      <c r="C13" s="41"/>
      <c r="D13" s="41"/>
      <c r="E13" s="38"/>
      <c r="F13" s="42"/>
      <c r="G13" s="18"/>
      <c r="H13" s="44"/>
    </row>
    <row r="14" spans="1:8" ht="12" customHeight="1" x14ac:dyDescent="0.35">
      <c r="A14" s="6"/>
      <c r="B14" s="39" t="s">
        <v>17</v>
      </c>
      <c r="C14" s="41" t="s">
        <v>18</v>
      </c>
      <c r="D14" s="41"/>
      <c r="E14" s="38"/>
      <c r="F14" s="42">
        <f>IFERROR(VLOOKUP($C$14,Mapping!$AN$3:$AO$5,2,0),0)</f>
        <v>0</v>
      </c>
      <c r="G14" s="18"/>
      <c r="H14" s="44"/>
    </row>
    <row r="15" spans="1:8" ht="12" customHeight="1" x14ac:dyDescent="0.35">
      <c r="A15" s="6"/>
      <c r="B15" s="39" t="s">
        <v>818</v>
      </c>
      <c r="C15" s="41" t="s">
        <v>466</v>
      </c>
      <c r="D15" s="41"/>
      <c r="E15" s="38"/>
      <c r="F15" s="42">
        <f>IFERROR(VLOOKUP(C15,Mapping!$JD$3:$JE$4,2,0),0)</f>
        <v>0</v>
      </c>
      <c r="G15" s="18"/>
      <c r="H15" s="44"/>
    </row>
    <row r="16" spans="1:8" ht="12" customHeight="1" x14ac:dyDescent="0.35">
      <c r="A16" s="6"/>
      <c r="B16" s="39" t="s">
        <v>19</v>
      </c>
      <c r="C16" s="46" t="s">
        <v>15</v>
      </c>
      <c r="D16" s="46"/>
      <c r="E16" s="38"/>
      <c r="F16" s="42"/>
      <c r="G16" s="18"/>
      <c r="H16" s="44"/>
    </row>
    <row r="17" spans="1:8" ht="12" customHeight="1" x14ac:dyDescent="0.35">
      <c r="A17" s="6"/>
      <c r="B17" s="39" t="s">
        <v>20</v>
      </c>
      <c r="C17" s="46">
        <v>102</v>
      </c>
      <c r="D17" s="46"/>
      <c r="E17" s="38" t="str">
        <f>"Standard do: "&amp;IF(C16="-",102,IF(C16=78, 102,106))</f>
        <v>Standard do: 102</v>
      </c>
      <c r="F17" s="36"/>
      <c r="G17" s="18"/>
      <c r="H17" s="44"/>
    </row>
    <row r="18" spans="1:8" ht="12" customHeight="1" x14ac:dyDescent="0.35">
      <c r="A18" s="6"/>
      <c r="B18" s="39" t="s">
        <v>21</v>
      </c>
      <c r="C18" s="47">
        <v>210</v>
      </c>
      <c r="D18" s="47"/>
      <c r="E18" s="38" t="str">
        <f>"Standard do: "&amp;IF(C16="-",212,IF(C16=78, 212,214))</f>
        <v>Standard do: 212</v>
      </c>
      <c r="F18" s="48"/>
      <c r="G18" s="49"/>
      <c r="H18" s="44"/>
    </row>
    <row r="19" spans="1:8" ht="12" customHeight="1" x14ac:dyDescent="0.35">
      <c r="A19" s="6"/>
      <c r="B19" s="39" t="s">
        <v>22</v>
      </c>
      <c r="C19" s="34" t="s">
        <v>15</v>
      </c>
      <c r="D19" s="34"/>
      <c r="E19" s="38"/>
      <c r="F19" s="36"/>
      <c r="G19" s="18"/>
      <c r="H19" s="44"/>
    </row>
    <row r="20" spans="1:8" ht="12" customHeight="1" x14ac:dyDescent="0.35">
      <c r="A20" s="6"/>
      <c r="B20" s="39" t="s">
        <v>316</v>
      </c>
      <c r="C20" s="34" t="s">
        <v>15</v>
      </c>
      <c r="D20" s="34"/>
      <c r="E20" s="50" t="str">
        <f>IF((VLOOKUP(VLOOKUP(C17,Mapping!$AX$2:$BA$230,4,0),Mapping!$BB$3:$BC$5,2,0))="Konieczna dostawka",IF(OR(C20&lt;&gt;"-",C21&lt;&gt;"-"),"","Konieczna dostawka"),IF((VLOOKUP(VLOOKUP(C17,Mapping!$AX$2:$BA$230,4,0),Mapping!$BB$3:$BC$5,2,0))="Konieczne 2 dostawki",IF(AND(C20&lt;&gt;"-",C21&lt;&gt;"-"),"","Konieczne 2 dostawki"),""))</f>
        <v/>
      </c>
      <c r="F20" s="48"/>
      <c r="G20" s="18"/>
      <c r="H20" s="51"/>
    </row>
    <row r="21" spans="1:8" ht="12" customHeight="1" x14ac:dyDescent="0.35">
      <c r="A21" s="6"/>
      <c r="B21" s="39" t="s">
        <v>317</v>
      </c>
      <c r="C21" s="34" t="s">
        <v>15</v>
      </c>
      <c r="D21" s="34"/>
      <c r="E21" s="50" t="str">
        <f>IF((VLOOKUP(VLOOKUP(C17,Mapping!$AX$2:$BA$230,4,0),Mapping!$BB$3:$BC$5,2,0))="Konieczna dostawka",IF(OR(C20&lt;&gt;"-",C21&lt;&gt;"-"),"","Konieczna dostawka"),IF((VLOOKUP(VLOOKUP(C17,Mapping!$AX$2:$BA$230,4,0),Mapping!$BB$3:$BC$5,2,0))="Konieczne 2 dostawki",IF(AND(C20&lt;&gt;"-",C21&lt;&gt;"-"),"","Konieczne 2 dostawki"),""))</f>
        <v/>
      </c>
      <c r="G21" s="18"/>
      <c r="H21" s="51"/>
    </row>
    <row r="22" spans="1:8" ht="12" customHeight="1" x14ac:dyDescent="0.35">
      <c r="A22" s="6"/>
      <c r="B22" s="39" t="s">
        <v>24</v>
      </c>
      <c r="C22" s="34" t="s">
        <v>15</v>
      </c>
      <c r="D22" s="34"/>
      <c r="E22" s="52" t="str">
        <f>IF((VLOOKUP(VLOOKUP(C18,Mapping!$BD$2:$BG$172,4,0),Mapping!$BH$3:$BI$4,2,0))="Konieczne naświetle",IF(C22="-","Konieczne naświetle",""),"")</f>
        <v/>
      </c>
      <c r="F22" s="48"/>
      <c r="G22" s="18"/>
      <c r="H22" s="44"/>
    </row>
    <row r="23" spans="1:8" ht="3.75" customHeight="1" x14ac:dyDescent="0.35">
      <c r="A23" s="6"/>
      <c r="B23" s="41"/>
      <c r="C23" s="41"/>
      <c r="D23" s="41"/>
      <c r="E23" s="38"/>
      <c r="F23" s="42"/>
      <c r="G23" s="18"/>
      <c r="H23" s="44"/>
    </row>
    <row r="24" spans="1:8" ht="12" customHeight="1" x14ac:dyDescent="0.35">
      <c r="A24" s="6"/>
      <c r="B24" s="70" t="s">
        <v>25</v>
      </c>
      <c r="C24" s="34"/>
      <c r="D24" s="34"/>
      <c r="E24" s="38"/>
      <c r="F24" s="53"/>
      <c r="G24" s="18"/>
      <c r="H24" s="44"/>
    </row>
    <row r="25" spans="1:8" ht="12" customHeight="1" x14ac:dyDescent="0.35">
      <c r="A25" s="6"/>
      <c r="B25" s="39" t="s">
        <v>26</v>
      </c>
      <c r="C25" s="34" t="s">
        <v>27</v>
      </c>
      <c r="D25" s="34"/>
      <c r="E25" s="38"/>
      <c r="F25" s="36">
        <f>IFERROR(VLOOKUP(C25,Mapping!$CJ$3:$CK$4,2,0),0)</f>
        <v>0</v>
      </c>
      <c r="G25" s="18"/>
      <c r="H25" s="44"/>
    </row>
    <row r="26" spans="1:8" ht="12" customHeight="1" x14ac:dyDescent="0.35">
      <c r="A26" s="6"/>
      <c r="B26" s="39" t="s">
        <v>28</v>
      </c>
      <c r="C26" s="34" t="s">
        <v>15</v>
      </c>
      <c r="D26" s="34"/>
      <c r="E26" s="38"/>
      <c r="F26" s="36">
        <f>IFERROR(VLOOKUP(C26,Mapping!$CO$3:$CP$11,2,0),0)</f>
        <v>0</v>
      </c>
      <c r="G26" s="18"/>
      <c r="H26" s="44"/>
    </row>
    <row r="27" spans="1:8" ht="12" customHeight="1" x14ac:dyDescent="0.35">
      <c r="A27" s="6"/>
      <c r="B27" s="39" t="s">
        <v>29</v>
      </c>
      <c r="C27" s="34">
        <f>VLOOKUP($C$14,Mapping!$CY$3:$CZ$5,2,0)</f>
        <v>6</v>
      </c>
      <c r="D27" s="34"/>
      <c r="E27" s="38" t="str">
        <f>"Standard: "&amp;VLOOKUP($C$14,Mapping!$CY$3:$CZ$5,2,0)</f>
        <v>Standard: 6</v>
      </c>
      <c r="F27" s="36">
        <f>((C27-VLOOKUP($C$14,Mapping!$CY$8:$CZ$10,2,0))*(C17)/100*(VLOOKUP($C$14,Mapping!$CY$12:$CZ$15,2,0)))</f>
        <v>0</v>
      </c>
      <c r="G27" s="18"/>
      <c r="H27" s="44"/>
    </row>
    <row r="28" spans="1:8" ht="12" customHeight="1" x14ac:dyDescent="0.35">
      <c r="A28" s="6"/>
      <c r="B28" s="39" t="s">
        <v>30</v>
      </c>
      <c r="C28" s="34">
        <f>VLOOKUP($C$14,Mapping!$DG$3:$DI$5,2,0)</f>
        <v>6</v>
      </c>
      <c r="D28" s="34"/>
      <c r="E28" s="38" t="str">
        <f>"Standard: "&amp;VLOOKUP($C$14,Mapping!$DG$3:$DH$5,2,0)</f>
        <v>Standard: 6</v>
      </c>
      <c r="F28" s="36">
        <f>((C28-VLOOKUP($C$14,Mapping!$DG$8:$DH$10,2,0))*(C18)/100*(VLOOKUP($C$14,Mapping!$DG$13:$DH$15,2,0)))</f>
        <v>0</v>
      </c>
      <c r="G28" s="18"/>
      <c r="H28" s="44"/>
    </row>
    <row r="29" spans="1:8" ht="12" customHeight="1" x14ac:dyDescent="0.35">
      <c r="A29" s="6"/>
      <c r="B29" s="39" t="s">
        <v>31</v>
      </c>
      <c r="C29" s="34">
        <f>VLOOKUP($C$14,Mapping!$DG$3:$DI$5,3,0)</f>
        <v>6</v>
      </c>
      <c r="D29" s="34"/>
      <c r="E29" s="38" t="str">
        <f>"Standard: "&amp;VLOOKUP($C$14,Mapping!$DG$3:$DI$5,3,0)</f>
        <v>Standard: 6</v>
      </c>
      <c r="F29" s="36">
        <f>((C29-VLOOKUP($C$14,Mapping!$DG$8:$DI$10,3,0))*(C18)/100*(VLOOKUP($C$14,Mapping!$DG$13:$DI$15,3,0)))</f>
        <v>0</v>
      </c>
      <c r="G29" s="18"/>
      <c r="H29" s="44"/>
    </row>
    <row r="30" spans="1:8" ht="12" customHeight="1" x14ac:dyDescent="0.35">
      <c r="A30" s="6"/>
      <c r="B30" s="39" t="s">
        <v>32</v>
      </c>
      <c r="C30" s="34">
        <f>VLOOKUP($C$25,Mapping!$DQ$3:$DR$4,2,0)</f>
        <v>10.5</v>
      </c>
      <c r="D30" s="34"/>
      <c r="E30" s="38" t="str">
        <f>"Standard: "&amp;VLOOKUP($C$25,Mapping!$DQ$3:$DR$4,2,0)</f>
        <v>Standard: 10,5</v>
      </c>
      <c r="F30" s="36">
        <f>(C30-VLOOKUP($C$25,Mapping!$DQ$3:$DR$4,2,0))*(C17+2*C18)/100*VLOOKUP($C$25,Mapping!$DQ$13:$DR$14,2,0)</f>
        <v>0</v>
      </c>
      <c r="G30" s="54"/>
      <c r="H30" s="44"/>
    </row>
    <row r="31" spans="1:8" ht="12" customHeight="1" x14ac:dyDescent="0.35">
      <c r="A31" s="6"/>
      <c r="B31" s="39" t="s">
        <v>776</v>
      </c>
      <c r="C31" s="55" t="s">
        <v>15</v>
      </c>
      <c r="D31" s="55"/>
      <c r="E31" s="38"/>
      <c r="F31" s="42">
        <f>IFERROR(C31*($C$17+$C$18*2)/100*7,0)</f>
        <v>0</v>
      </c>
      <c r="G31" s="49"/>
      <c r="H31" s="44"/>
    </row>
    <row r="32" spans="1:8" ht="12" customHeight="1" x14ac:dyDescent="0.35">
      <c r="A32" s="6"/>
      <c r="B32" s="39" t="s">
        <v>777</v>
      </c>
      <c r="C32" s="34" t="s">
        <v>15</v>
      </c>
      <c r="D32" s="34"/>
      <c r="E32" s="38"/>
      <c r="F32" s="42">
        <f>IFERROR(C32*($C$17+$C$18*2)/100*7,0)</f>
        <v>0</v>
      </c>
      <c r="G32" s="49"/>
      <c r="H32" s="44"/>
    </row>
    <row r="33" spans="1:8" ht="3.75" customHeight="1" x14ac:dyDescent="0.35">
      <c r="A33" s="6"/>
      <c r="B33" s="41"/>
      <c r="C33" s="41"/>
      <c r="D33" s="41"/>
      <c r="E33" s="38"/>
      <c r="F33" s="42"/>
      <c r="G33" s="18"/>
      <c r="H33" s="44"/>
    </row>
    <row r="34" spans="1:8" ht="12" customHeight="1" x14ac:dyDescent="0.35">
      <c r="A34" s="6"/>
      <c r="B34" s="70" t="s">
        <v>33</v>
      </c>
      <c r="C34" s="34"/>
      <c r="D34" s="34"/>
      <c r="E34" s="38"/>
      <c r="F34" s="36"/>
      <c r="G34" s="18"/>
      <c r="H34" s="44"/>
    </row>
    <row r="35" spans="1:8" ht="12" customHeight="1" x14ac:dyDescent="0.35">
      <c r="A35" s="6"/>
      <c r="B35" s="39" t="s">
        <v>354</v>
      </c>
      <c r="C35" s="34" t="s">
        <v>15</v>
      </c>
      <c r="D35" s="34"/>
      <c r="E35" s="38" t="s">
        <v>817</v>
      </c>
      <c r="F35" s="42">
        <f>IFERROR(VLOOKUP($C$35,Mapping!$DY$3:$DZ$4,2,0),0)</f>
        <v>0</v>
      </c>
      <c r="G35" s="49"/>
      <c r="H35" s="44"/>
    </row>
    <row r="36" spans="1:8" ht="12" customHeight="1" x14ac:dyDescent="0.35">
      <c r="A36" s="6"/>
      <c r="B36" s="39" t="s">
        <v>355</v>
      </c>
      <c r="C36" s="34" t="s">
        <v>15</v>
      </c>
      <c r="D36" s="34"/>
      <c r="E36" s="38" t="s">
        <v>356</v>
      </c>
      <c r="F36" s="42">
        <f>IFERROR(VLOOKUP($C$36,Mapping!$EB$3:$EC$4,2,0),0)</f>
        <v>0</v>
      </c>
      <c r="G36" s="49"/>
      <c r="H36" s="44"/>
    </row>
    <row r="37" spans="1:8" ht="12" customHeight="1" x14ac:dyDescent="0.35">
      <c r="A37" s="6"/>
      <c r="B37" s="39" t="s">
        <v>34</v>
      </c>
      <c r="C37" s="34" t="s">
        <v>15</v>
      </c>
      <c r="D37" s="34"/>
      <c r="E37" s="38"/>
      <c r="F37" s="42">
        <f>IFERROR(VLOOKUP($C$37,Mapping!$EG$3:$EH$5,2,0),0)</f>
        <v>0</v>
      </c>
      <c r="G37" s="49"/>
      <c r="H37" s="44"/>
    </row>
    <row r="38" spans="1:8" ht="12" customHeight="1" x14ac:dyDescent="0.35">
      <c r="A38" s="6"/>
      <c r="B38" s="39" t="s">
        <v>35</v>
      </c>
      <c r="C38" s="34" t="s">
        <v>15</v>
      </c>
      <c r="D38" s="34"/>
      <c r="E38" s="38"/>
      <c r="F38" s="42">
        <f>IFERROR(VLOOKUP($C$38,Mapping!$EJ$3:$EK$5,2,0),0)</f>
        <v>0</v>
      </c>
      <c r="G38" s="49"/>
      <c r="H38" s="44"/>
    </row>
    <row r="39" spans="1:8" ht="3.75" customHeight="1" x14ac:dyDescent="0.35">
      <c r="A39" s="6"/>
      <c r="B39" s="41"/>
      <c r="C39" s="41"/>
      <c r="D39" s="41"/>
      <c r="E39" s="38"/>
      <c r="F39" s="42"/>
      <c r="G39" s="18"/>
      <c r="H39" s="44"/>
    </row>
    <row r="40" spans="1:8" ht="12" customHeight="1" x14ac:dyDescent="0.35">
      <c r="A40" s="6"/>
      <c r="B40" s="70" t="s">
        <v>36</v>
      </c>
      <c r="C40" s="34"/>
      <c r="D40" s="34"/>
      <c r="E40" s="38"/>
      <c r="F40" s="56"/>
      <c r="G40" s="49"/>
      <c r="H40" s="44"/>
    </row>
    <row r="41" spans="1:8" ht="12" customHeight="1" x14ac:dyDescent="0.35">
      <c r="A41" s="6"/>
      <c r="B41" s="39" t="s">
        <v>37</v>
      </c>
      <c r="C41" s="34" t="s">
        <v>15</v>
      </c>
      <c r="D41" s="34"/>
      <c r="E41" s="38" t="s">
        <v>38</v>
      </c>
      <c r="F41" s="36">
        <f>IFERROR(VLOOKUP(C41,Mapping!$EN$3:$EO$8,2,1),0)</f>
        <v>0</v>
      </c>
      <c r="G41" s="49"/>
      <c r="H41" s="44"/>
    </row>
    <row r="42" spans="1:8" ht="12" customHeight="1" x14ac:dyDescent="0.35">
      <c r="A42" s="6"/>
      <c r="B42" s="39" t="s">
        <v>39</v>
      </c>
      <c r="C42" s="34" t="s">
        <v>15</v>
      </c>
      <c r="D42" s="34"/>
      <c r="E42" s="38" t="s">
        <v>38</v>
      </c>
      <c r="F42" s="36">
        <f ca="1">(IFERROR(VLOOKUP(C42,Mapping!$ET$3:$EU$8,2,1),0))*SUM($F$5:$F$10,F41)</f>
        <v>0</v>
      </c>
      <c r="G42" s="57"/>
      <c r="H42" s="44"/>
    </row>
    <row r="43" spans="1:8" ht="3.75" customHeight="1" x14ac:dyDescent="0.35">
      <c r="A43" s="6"/>
      <c r="B43" s="41"/>
      <c r="C43" s="41"/>
      <c r="D43" s="41"/>
      <c r="E43" s="38"/>
      <c r="F43" s="42"/>
      <c r="G43" s="18"/>
      <c r="H43" s="44"/>
    </row>
    <row r="44" spans="1:8" x14ac:dyDescent="0.35">
      <c r="A44" s="6"/>
      <c r="B44" s="70" t="s">
        <v>40</v>
      </c>
      <c r="C44" s="34"/>
      <c r="D44" s="34"/>
      <c r="E44" s="38"/>
      <c r="F44" s="56"/>
      <c r="G44" s="49"/>
      <c r="H44" s="44"/>
    </row>
    <row r="45" spans="1:8" ht="12" customHeight="1" x14ac:dyDescent="0.35">
      <c r="A45" s="6"/>
      <c r="B45" s="39" t="s">
        <v>372</v>
      </c>
      <c r="C45" s="58" t="str">
        <f>IFERROR(IF(C20&lt;&gt;"-",((C17-C28-C29)-C41)/IF(AND(C20&lt;&gt;"-",C21&lt;&gt;"-")=TRUE,2,1)+VLOOKUP(Wycena!C26,Mapping!$CO$40:$CS$49,IF(AND(Wycena!C20="-",Wycena!C21="-"),2,IF(AND(Wycena!C20&lt;&gt;"-",Wycena!C21="-"),3,IF(AND(Wycena!C20="-",Wycena!C21&lt;&gt;"-"),4,5))),0),"-"),"-")</f>
        <v>-</v>
      </c>
      <c r="D45" s="58"/>
      <c r="E45" s="59" t="s">
        <v>41</v>
      </c>
      <c r="F45" s="56">
        <f ca="1">IFERROR(IF(E46="",(VLOOKUP(C45,Mapping!$EZ$3:$FB$6,2,1)*SUM(F5:F10)*(VLOOKUP(C42,Mapping!$ET$3:$EU$8,2,1)+1)),"Błąd wyceny"),0)</f>
        <v>0</v>
      </c>
      <c r="G45" s="49"/>
      <c r="H45" s="44"/>
    </row>
    <row r="46" spans="1:8" ht="12" customHeight="1" x14ac:dyDescent="0.35">
      <c r="A46" s="6"/>
      <c r="B46" s="39" t="s">
        <v>371</v>
      </c>
      <c r="C46" s="34" t="s">
        <v>15</v>
      </c>
      <c r="D46" s="34"/>
      <c r="E46" s="50" t="str">
        <f>IF(C45&lt;IFERROR(VLOOKUP($C$5,Mapping!$A$2:$I$168,((VLOOKUP(C20,Mapping!$J$2:$K$7,2,0)+IF((OR(C46="-",C46="Brak (pełne)")),0,1))),0),0),"Dostawka za wąska",IF(C45="-","",IF(C45&gt;100,"Wycena indywidualna","")))</f>
        <v/>
      </c>
      <c r="F46" s="56">
        <f>IFERROR(IF(E46="",IF(AND(C45&gt;69.99,C46="Witraż"),"Wycena indywidulana",(IF((VLOOKUP(C46,Mapping!$FE$3:$FF$14,2,0)-VLOOKUP(C6,Mapping!$FE$3:$FF$14,2,0))&lt;0,0,(VLOOKUP(C46,Mapping!$FE$3:$FF$14,2,0)-VLOOKUP(C6,Mapping!$FE$3:$FF$14,2,0)))*(VLOOKUP(C42,Mapping!$ET$3:$EU$8,2,1)+1))),"Błąd wyceny"),0)</f>
        <v>0</v>
      </c>
      <c r="G46" s="49"/>
      <c r="H46" s="44"/>
    </row>
    <row r="47" spans="1:8" ht="12" customHeight="1" x14ac:dyDescent="0.35">
      <c r="A47" s="6"/>
      <c r="B47" s="39" t="s">
        <v>370</v>
      </c>
      <c r="C47" s="47" t="s">
        <v>15</v>
      </c>
      <c r="D47" s="47"/>
      <c r="E47" s="38" t="s">
        <v>376</v>
      </c>
      <c r="F47" s="56">
        <f>IFERROR(IF(E46="",(IF(Mapping!$FN$3-Wycena!$C$47&lt;0,(Wycena!$C$47-Mapping!$FN$3)*Mapping!FN6,0)),"Błąd wyceny"),0)</f>
        <v>0</v>
      </c>
      <c r="G47" s="49"/>
      <c r="H47" s="44"/>
    </row>
    <row r="48" spans="1:8" ht="3.75" customHeight="1" x14ac:dyDescent="0.35">
      <c r="A48" s="6"/>
      <c r="B48" s="39"/>
      <c r="C48" s="41"/>
      <c r="D48" s="41"/>
      <c r="E48" s="60"/>
      <c r="F48" s="42"/>
      <c r="G48" s="18"/>
      <c r="H48" s="44"/>
    </row>
    <row r="49" spans="1:8" ht="12" customHeight="1" x14ac:dyDescent="0.35">
      <c r="A49" s="6"/>
      <c r="B49" s="39" t="s">
        <v>373</v>
      </c>
      <c r="C49" s="58" t="str">
        <f>IFERROR(IF(C21&lt;&gt;"-",((C17-C28-C29)-C41)/IF(AND(C20&lt;&gt;"-",C21&lt;&gt;"-")=TRUE,2,1)+VLOOKUP(Wycena!C26,Mapping!$CO$52:$CS$61,IF(AND(Wycena!C20="-",Wycena!C21="-"),2,IF(AND(Wycena!C20&lt;&gt;"-",Wycena!C21="-"),3,IF(AND(Wycena!C20="-",Wycena!C21&lt;&gt;"-"),4,5))),0),"-"),"-")</f>
        <v>-</v>
      </c>
      <c r="D49" s="58"/>
      <c r="E49" s="59" t="s">
        <v>41</v>
      </c>
      <c r="F49" s="56">
        <f ca="1">IFERROR(IF(E50="",(VLOOKUP(C49,Mapping!$EZ$3:$FB$6,3,1)*SUM(F5:F10)*(VLOOKUP(C42,Mapping!$ET$3:$EU$8,2,1)+1)),"Błąd wyceny"),0)</f>
        <v>0</v>
      </c>
      <c r="G49" s="49"/>
      <c r="H49" s="44"/>
    </row>
    <row r="50" spans="1:8" ht="12" customHeight="1" x14ac:dyDescent="0.35">
      <c r="A50" s="6"/>
      <c r="B50" s="39" t="s">
        <v>374</v>
      </c>
      <c r="C50" s="47" t="s">
        <v>15</v>
      </c>
      <c r="D50" s="47"/>
      <c r="E50" s="50" t="str">
        <f>IF(C49&lt;IFERROR(VLOOKUP($C$5,Mapping!$A$2:$I$168,((VLOOKUP(C21,Mapping!$J$2:$K$7,2,0)+IF((OR(C50="-",C50="Brak (pełne)")),0,1))),0),0),"Dostawka za wąska",IF(C49="-","",IF(C49&gt;100,"Wycena indywidualna","")))</f>
        <v/>
      </c>
      <c r="F50" s="71">
        <f>IFERROR(IF(E50="",IF(AND(C49&gt;69.99,C50="Witraż"),"Wycena indywidulana",(IF((VLOOKUP(C50,Mapping!$FE$3:$FF$14,2,0)-VLOOKUP(C6,Mapping!$FE$3:$FF$14,2,0))&lt;0,0,(VLOOKUP(C50,Mapping!$FE$3:$FF$14,2,0)-VLOOKUP(C6,Mapping!$FE$3:$FF$14,2,0)))*(VLOOKUP(C42,Mapping!$ET$3:$EU$8,2,1)+1))),"Błąd wyceny"),0)</f>
        <v>0</v>
      </c>
      <c r="G50" s="61"/>
      <c r="H50" s="44"/>
    </row>
    <row r="51" spans="1:8" ht="12" customHeight="1" x14ac:dyDescent="0.35">
      <c r="A51" s="6"/>
      <c r="B51" s="39" t="s">
        <v>375</v>
      </c>
      <c r="C51" s="47" t="s">
        <v>15</v>
      </c>
      <c r="D51" s="47"/>
      <c r="E51" s="38" t="s">
        <v>376</v>
      </c>
      <c r="F51" s="56">
        <f>IFERROR(IF(E50="",(IF(Mapping!$FN$3-Wycena!$C$51&lt;0,(Wycena!$C$51-Mapping!$FN$3)*Mapping!FN6,0)),"Błąd wyceny"),0)</f>
        <v>0</v>
      </c>
      <c r="G51" s="49"/>
      <c r="H51" s="62"/>
    </row>
    <row r="52" spans="1:8" ht="3.75" customHeight="1" x14ac:dyDescent="0.35">
      <c r="A52" s="6"/>
      <c r="B52" s="41"/>
      <c r="C52" s="41"/>
      <c r="D52" s="41"/>
      <c r="E52" s="38"/>
      <c r="F52" s="42"/>
      <c r="G52" s="18"/>
      <c r="H52" s="44"/>
    </row>
    <row r="53" spans="1:8" x14ac:dyDescent="0.35">
      <c r="A53" s="6"/>
      <c r="B53" s="70" t="s">
        <v>42</v>
      </c>
      <c r="C53" s="63"/>
      <c r="D53" s="63"/>
      <c r="E53" s="38"/>
      <c r="F53" s="56"/>
      <c r="G53" s="49"/>
      <c r="H53" s="62"/>
    </row>
    <row r="54" spans="1:8" ht="12" customHeight="1" x14ac:dyDescent="0.35">
      <c r="A54" s="6"/>
      <c r="B54" s="39" t="s">
        <v>44</v>
      </c>
      <c r="C54" s="58" t="str">
        <f>IFERROR(IF(C22&lt;&gt;"-",C18-C27-C42,"-"),"-")</f>
        <v>-</v>
      </c>
      <c r="D54" s="58"/>
      <c r="E54" s="59" t="s">
        <v>41</v>
      </c>
      <c r="F54" s="56">
        <f>IFERROR(IF(E55="",VLOOKUP(C22,Mapping!$BU$3:$BV$6,2,0),"Błąd wyceny"),0)</f>
        <v>0</v>
      </c>
      <c r="G54" s="49"/>
      <c r="H54" s="44"/>
    </row>
    <row r="55" spans="1:8" ht="12" customHeight="1" x14ac:dyDescent="0.35">
      <c r="A55" s="6"/>
      <c r="B55" s="39" t="s">
        <v>7</v>
      </c>
      <c r="C55" s="47" t="s">
        <v>15</v>
      </c>
      <c r="D55" s="47"/>
      <c r="E55" s="50" t="str">
        <f>IF(C54="-","",IF(C54&gt;100,"Wycena indywidulana",IF((IF(C22="Imitacja skrzydła",30,IF(C22&lt;&gt;"-",18,"")))&gt;C54,"Za niskie naświetle","")))</f>
        <v/>
      </c>
      <c r="F55" s="56">
        <f>IFERROR(IF(E55="",VLOOKUP(C55,Mapping!$CA$2:$CC$12,3,0),"Błąd wyceny"),0)</f>
        <v>0</v>
      </c>
      <c r="G55" s="49"/>
      <c r="H55" s="44"/>
    </row>
    <row r="56" spans="1:8" ht="12" customHeight="1" x14ac:dyDescent="0.35">
      <c r="A56" s="6"/>
      <c r="B56" s="39" t="s">
        <v>409</v>
      </c>
      <c r="C56" s="34" t="s">
        <v>15</v>
      </c>
      <c r="D56" s="34"/>
      <c r="E56" s="38" t="s">
        <v>376</v>
      </c>
      <c r="F56" s="56">
        <f>IFERROR(IF(E55="",(IF(Mapping!$FN$3-Wycena!$C$56&lt;0,(Wycena!$C$56-Mapping!$FN$3)*Mapping!FN6,0)),"Błąd wyceny"),0)</f>
        <v>0</v>
      </c>
      <c r="G56" s="49"/>
      <c r="H56" s="44"/>
    </row>
    <row r="57" spans="1:8" ht="3.75" customHeight="1" x14ac:dyDescent="0.35">
      <c r="A57" s="6"/>
      <c r="B57" s="41"/>
      <c r="C57" s="41"/>
      <c r="D57" s="41"/>
      <c r="E57" s="38"/>
      <c r="F57" s="42"/>
      <c r="G57" s="18"/>
      <c r="H57" s="44"/>
    </row>
    <row r="58" spans="1:8" ht="12" customHeight="1" x14ac:dyDescent="0.35">
      <c r="A58" s="6"/>
      <c r="B58" s="70" t="s">
        <v>45</v>
      </c>
      <c r="C58" s="34"/>
      <c r="D58" s="34"/>
      <c r="E58" s="38"/>
      <c r="F58" s="36"/>
      <c r="G58" s="49"/>
      <c r="H58" s="44"/>
    </row>
    <row r="59" spans="1:8" ht="12" customHeight="1" x14ac:dyDescent="0.35">
      <c r="A59" s="6"/>
      <c r="B59" s="39" t="s">
        <v>46</v>
      </c>
      <c r="C59" s="34" t="s">
        <v>47</v>
      </c>
      <c r="D59" s="34"/>
      <c r="E59" s="38"/>
      <c r="F59" s="36">
        <f>IFERROR(VLOOKUP(C59,Mapping!$FW$3:$FX$11,2,0),0)</f>
        <v>0</v>
      </c>
      <c r="G59" s="49"/>
      <c r="H59" s="44"/>
    </row>
    <row r="60" spans="1:8" ht="12" customHeight="1" x14ac:dyDescent="0.35">
      <c r="A60" s="6"/>
      <c r="B60" s="39" t="s">
        <v>48</v>
      </c>
      <c r="C60" s="34" t="s">
        <v>15</v>
      </c>
      <c r="D60" s="34"/>
      <c r="E60" s="38"/>
      <c r="F60" s="36">
        <f>IFERROR(VLOOKUP(C60,Mapping!$FY$15:$FZ$24,2,0),0)</f>
        <v>0</v>
      </c>
      <c r="G60" s="49"/>
      <c r="H60" s="44"/>
    </row>
    <row r="61" spans="1:8" ht="12" customHeight="1" x14ac:dyDescent="0.35">
      <c r="A61" s="6"/>
      <c r="B61" s="39" t="s">
        <v>49</v>
      </c>
      <c r="C61" s="41" t="s">
        <v>15</v>
      </c>
      <c r="D61" s="41"/>
      <c r="E61" s="38"/>
      <c r="F61" s="36">
        <f>IFERROR(VLOOKUP(C61,Mapping!$GA$3:$GB$33,2,0),0)</f>
        <v>0</v>
      </c>
      <c r="G61" s="49"/>
      <c r="H61" s="44"/>
    </row>
    <row r="62" spans="1:8" ht="12" customHeight="1" x14ac:dyDescent="0.35">
      <c r="A62" s="6"/>
      <c r="B62" s="39" t="s">
        <v>50</v>
      </c>
      <c r="C62" s="34" t="s">
        <v>15</v>
      </c>
      <c r="D62" s="34"/>
      <c r="E62" s="38"/>
      <c r="F62" s="36"/>
      <c r="G62" s="49"/>
      <c r="H62" s="44"/>
    </row>
    <row r="63" spans="1:8" ht="12" customHeight="1" x14ac:dyDescent="0.35">
      <c r="A63" s="6"/>
      <c r="B63" s="39" t="s">
        <v>51</v>
      </c>
      <c r="C63" s="37" t="s">
        <v>15</v>
      </c>
      <c r="D63" s="37"/>
      <c r="E63" s="38"/>
      <c r="F63" s="48"/>
      <c r="G63" s="49"/>
      <c r="H63" s="44"/>
    </row>
    <row r="64" spans="1:8" ht="12" customHeight="1" x14ac:dyDescent="0.35">
      <c r="A64" s="6"/>
      <c r="B64" s="39" t="s">
        <v>52</v>
      </c>
      <c r="C64" s="34" t="s">
        <v>15</v>
      </c>
      <c r="D64" s="34"/>
      <c r="E64" s="38"/>
      <c r="F64" s="36" t="str">
        <f>IFERROR(VLOOKUP(C64,Mapping!$GS$3:$GT$8,2,0),"")</f>
        <v/>
      </c>
      <c r="G64" s="49"/>
      <c r="H64" s="44"/>
    </row>
    <row r="65" spans="1:8" ht="12" customHeight="1" x14ac:dyDescent="0.35">
      <c r="A65" s="6"/>
      <c r="B65" s="39" t="s">
        <v>53</v>
      </c>
      <c r="C65" s="34" t="s">
        <v>15</v>
      </c>
      <c r="D65" s="34"/>
      <c r="E65" s="38"/>
      <c r="F65" s="56">
        <f>IFERROR(VLOOKUP(C65,Mapping!$GW$3:$GX$5,2,0),0)</f>
        <v>0</v>
      </c>
      <c r="G65" s="49"/>
      <c r="H65" s="44"/>
    </row>
    <row r="66" spans="1:8" ht="12" customHeight="1" x14ac:dyDescent="0.35">
      <c r="A66" s="6"/>
      <c r="B66" s="39" t="s">
        <v>54</v>
      </c>
      <c r="C66" s="34" t="s">
        <v>15</v>
      </c>
      <c r="D66" s="34"/>
      <c r="E66" s="38"/>
      <c r="F66" s="36">
        <f>IFERROR(VLOOKUP(C66,Mapping!$HB$3:$HC$4,2,0),"")</f>
        <v>0</v>
      </c>
      <c r="G66" s="49"/>
      <c r="H66" s="44"/>
    </row>
    <row r="67" spans="1:8" ht="3.75" customHeight="1" x14ac:dyDescent="0.35">
      <c r="A67" s="6"/>
      <c r="B67" s="41"/>
      <c r="C67" s="41"/>
      <c r="D67" s="41"/>
      <c r="E67" s="38"/>
      <c r="F67" s="42"/>
      <c r="G67" s="18"/>
      <c r="H67" s="44"/>
    </row>
    <row r="68" spans="1:8" x14ac:dyDescent="0.35">
      <c r="A68" s="6"/>
      <c r="B68" s="70" t="s">
        <v>55</v>
      </c>
      <c r="C68" s="34"/>
      <c r="D68" s="34"/>
      <c r="E68" s="38"/>
      <c r="F68" s="36"/>
      <c r="G68" s="18"/>
      <c r="H68" s="44"/>
    </row>
    <row r="69" spans="1:8" ht="12.75" customHeight="1" x14ac:dyDescent="0.35">
      <c r="A69" s="6"/>
      <c r="B69" s="39" t="s">
        <v>496</v>
      </c>
      <c r="C69" s="34" t="s">
        <v>15</v>
      </c>
      <c r="D69" s="34"/>
      <c r="E69" s="38"/>
      <c r="F69" s="36">
        <f>IFERROR(VLOOKUP(C69,Mapping!$HF$3:$HH$13,3,0),0)</f>
        <v>0</v>
      </c>
      <c r="G69" s="49"/>
      <c r="H69" s="44"/>
    </row>
    <row r="70" spans="1:8" ht="12.75" customHeight="1" x14ac:dyDescent="0.35">
      <c r="A70" s="6"/>
      <c r="B70" s="39" t="s">
        <v>56</v>
      </c>
      <c r="C70" s="34" t="s">
        <v>57</v>
      </c>
      <c r="D70" s="34"/>
      <c r="E70" s="38"/>
      <c r="F70" s="36">
        <f>VLOOKUP(C70,Mapping!$HM$3:$HO$5,3,0)</f>
        <v>0</v>
      </c>
      <c r="G70" s="18"/>
      <c r="H70" s="44"/>
    </row>
    <row r="71" spans="1:8" ht="12.75" customHeight="1" x14ac:dyDescent="0.35">
      <c r="A71" s="6"/>
      <c r="B71" s="39" t="s">
        <v>58</v>
      </c>
      <c r="C71" s="34" t="s">
        <v>15</v>
      </c>
      <c r="D71" s="34"/>
      <c r="E71" s="38"/>
      <c r="F71" s="36">
        <f>IFERROR(VLOOKUP(C71,Mapping!$HS$3:$HU$20,3,0),0)</f>
        <v>0</v>
      </c>
      <c r="G71" s="18"/>
      <c r="H71" s="44"/>
    </row>
    <row r="72" spans="1:8" ht="12.75" customHeight="1" x14ac:dyDescent="0.35">
      <c r="A72" s="6"/>
      <c r="B72" s="39" t="s">
        <v>59</v>
      </c>
      <c r="C72" s="34" t="s">
        <v>15</v>
      </c>
      <c r="D72" s="34"/>
      <c r="E72" s="38"/>
      <c r="F72" s="36">
        <f>IFERROR(VLOOKUP(C72,Mapping!$HW$3:$HY$9,3,0),0)</f>
        <v>0</v>
      </c>
      <c r="G72" s="18"/>
      <c r="H72" s="44"/>
    </row>
    <row r="73" spans="1:8" ht="12.75" customHeight="1" x14ac:dyDescent="0.35">
      <c r="A73" s="6"/>
      <c r="B73" s="39" t="s">
        <v>60</v>
      </c>
      <c r="C73" s="34" t="s">
        <v>15</v>
      </c>
      <c r="D73" s="34"/>
      <c r="E73" s="38"/>
      <c r="F73" s="36">
        <f>IFERROR(VLOOKUP(C73,Mapping!$HW$3:$IA$9,5,0),0)</f>
        <v>0</v>
      </c>
      <c r="G73" s="18"/>
      <c r="H73" s="44"/>
    </row>
    <row r="74" spans="1:8" ht="12.75" customHeight="1" x14ac:dyDescent="0.35">
      <c r="A74" s="6"/>
      <c r="B74" s="39" t="s">
        <v>533</v>
      </c>
      <c r="C74" s="34" t="s">
        <v>15</v>
      </c>
      <c r="D74" s="34"/>
      <c r="E74" s="38"/>
      <c r="F74" s="36">
        <f>IFERROR(VLOOKUP(C74,Mapping!$IE$3:$IF$6,2,0),0)</f>
        <v>0</v>
      </c>
      <c r="G74" s="18"/>
      <c r="H74" s="44"/>
    </row>
    <row r="75" spans="1:8" ht="12.75" customHeight="1" x14ac:dyDescent="0.35">
      <c r="A75" s="6"/>
      <c r="B75" s="39" t="s">
        <v>62</v>
      </c>
      <c r="C75" s="34" t="s">
        <v>15</v>
      </c>
      <c r="D75" s="34"/>
      <c r="E75" s="38"/>
      <c r="F75" s="36">
        <f>VLOOKUP(C75,Mapping!$IH$3:$II$13,2,0)</f>
        <v>0</v>
      </c>
      <c r="G75" s="18"/>
      <c r="H75" s="44"/>
    </row>
    <row r="76" spans="1:8" ht="12.75" customHeight="1" x14ac:dyDescent="0.35">
      <c r="A76" s="6"/>
      <c r="B76" s="39" t="s">
        <v>63</v>
      </c>
      <c r="C76" s="34" t="s">
        <v>15</v>
      </c>
      <c r="D76" s="34"/>
      <c r="E76" s="38"/>
      <c r="F76" s="36">
        <f>IFERROR(VLOOKUP(C76,Mapping!$IK$3:$IL$5,2,0),"")</f>
        <v>0</v>
      </c>
      <c r="G76" s="18"/>
      <c r="H76" s="44"/>
    </row>
    <row r="77" spans="1:8" ht="12.75" customHeight="1" x14ac:dyDescent="0.35">
      <c r="A77" s="6"/>
      <c r="B77" s="39" t="s">
        <v>64</v>
      </c>
      <c r="C77" s="34" t="s">
        <v>15</v>
      </c>
      <c r="D77" s="34"/>
      <c r="E77" s="38"/>
      <c r="F77" s="36">
        <f>IFERROR(VLOOKUP(C77,Mapping!$IN$3:$IO$5,2,0),0)</f>
        <v>0</v>
      </c>
      <c r="G77" s="18"/>
      <c r="H77" s="44"/>
    </row>
    <row r="78" spans="1:8" ht="12.75" customHeight="1" x14ac:dyDescent="0.35">
      <c r="A78" s="6"/>
      <c r="B78" s="39" t="s">
        <v>65</v>
      </c>
      <c r="C78" s="34" t="s">
        <v>15</v>
      </c>
      <c r="D78" s="34"/>
      <c r="E78" s="38"/>
      <c r="F78" s="36">
        <f>IFERROR(VLOOKUP(C78,Mapping!$IQ$3:$IR$4,2,0),0)</f>
        <v>0</v>
      </c>
      <c r="G78" s="18"/>
      <c r="H78" s="44"/>
    </row>
    <row r="79" spans="1:8" ht="12.75" customHeight="1" x14ac:dyDescent="0.35">
      <c r="A79" s="6"/>
      <c r="B79" s="39" t="s">
        <v>66</v>
      </c>
      <c r="C79" s="34" t="s">
        <v>15</v>
      </c>
      <c r="D79" s="34"/>
      <c r="E79" s="38"/>
      <c r="F79" s="36">
        <f>VLOOKUP(C79,Mapping!$IT$3:$IU$4,2,0)</f>
        <v>0</v>
      </c>
      <c r="G79" s="18"/>
      <c r="H79" s="44"/>
    </row>
    <row r="80" spans="1:8" ht="12.75" customHeight="1" x14ac:dyDescent="0.35">
      <c r="A80" s="6"/>
      <c r="B80" s="39" t="s">
        <v>67</v>
      </c>
      <c r="C80" s="34"/>
      <c r="D80" s="34"/>
      <c r="E80" s="38" t="s">
        <v>556</v>
      </c>
      <c r="F80" s="36"/>
      <c r="G80" s="18"/>
      <c r="H80" s="44"/>
    </row>
    <row r="81" spans="1:8" ht="3.75" customHeight="1" x14ac:dyDescent="0.35">
      <c r="A81" s="6"/>
      <c r="B81" s="41"/>
      <c r="C81" s="41"/>
      <c r="D81" s="41"/>
      <c r="E81" s="60"/>
      <c r="F81" s="42"/>
      <c r="G81" s="18"/>
      <c r="H81" s="44"/>
    </row>
    <row r="82" spans="1:8" s="28" customFormat="1" ht="12.75" customHeight="1" x14ac:dyDescent="0.35">
      <c r="A82" s="27"/>
      <c r="B82" s="22" t="s">
        <v>559</v>
      </c>
      <c r="C82" s="23"/>
      <c r="D82" s="23"/>
      <c r="E82" s="24"/>
      <c r="F82" s="29">
        <f ca="1">SUM(F5:F81)</f>
        <v>0</v>
      </c>
      <c r="G82" s="25"/>
      <c r="H82" s="26"/>
    </row>
    <row r="83" spans="1:8" ht="12.75" hidden="1" customHeight="1" outlineLevel="1" x14ac:dyDescent="0.35">
      <c r="A83" s="27"/>
      <c r="B83" s="22" t="s">
        <v>558</v>
      </c>
      <c r="C83" s="23"/>
      <c r="D83" s="23"/>
      <c r="E83" s="24" t="s">
        <v>774</v>
      </c>
      <c r="F83" s="74">
        <v>0</v>
      </c>
      <c r="G83" s="25"/>
      <c r="H83" s="26"/>
    </row>
    <row r="84" spans="1:8" ht="12.75" customHeight="1" collapsed="1" x14ac:dyDescent="0.35">
      <c r="A84" s="27"/>
      <c r="B84" s="22" t="s">
        <v>557</v>
      </c>
      <c r="C84" s="23"/>
      <c r="D84" s="23"/>
      <c r="E84" s="24" t="s">
        <v>775</v>
      </c>
      <c r="F84" s="75">
        <v>0</v>
      </c>
      <c r="G84" s="25"/>
      <c r="H84" s="26"/>
    </row>
    <row r="85" spans="1:8" ht="12.75" customHeight="1" x14ac:dyDescent="0.35">
      <c r="A85" s="27"/>
      <c r="B85" s="22" t="s">
        <v>797</v>
      </c>
      <c r="C85" s="72">
        <v>0.08</v>
      </c>
      <c r="D85" s="23"/>
      <c r="E85" s="24" t="s">
        <v>795</v>
      </c>
      <c r="F85" s="29">
        <f ca="1">(F82*(1-F83)+F84)*(1+C85)</f>
        <v>0</v>
      </c>
      <c r="G85" s="25"/>
      <c r="H85" s="26"/>
    </row>
    <row r="86" spans="1:8" x14ac:dyDescent="0.35">
      <c r="A86" s="33"/>
      <c r="B86" s="64" t="s">
        <v>560</v>
      </c>
      <c r="C86" s="65"/>
      <c r="D86" s="65"/>
      <c r="E86" s="66" t="s">
        <v>68</v>
      </c>
      <c r="F86" s="67" t="s">
        <v>798</v>
      </c>
      <c r="G86" s="68"/>
      <c r="H86" s="69"/>
    </row>
    <row r="87" spans="1:8" x14ac:dyDescent="0.35">
      <c r="A87" s="18"/>
      <c r="B87" s="76"/>
      <c r="C87" s="76"/>
      <c r="D87" s="76"/>
      <c r="E87" s="76"/>
      <c r="F87" s="76"/>
      <c r="G87" s="6"/>
    </row>
    <row r="88" spans="1:8" x14ac:dyDescent="0.35">
      <c r="A88" s="18"/>
      <c r="B88" s="76"/>
      <c r="C88" s="76"/>
      <c r="D88" s="76"/>
      <c r="E88" s="76"/>
      <c r="F88" s="76"/>
      <c r="G88" s="6"/>
    </row>
  </sheetData>
  <sheetProtection algorithmName="SHA-512" hashValue="vAw6SduqRXsfJJMvM6FIr+mXpqoaQqjQlfjbIKNkPwGuNNAYlGUXzQkyc4uqBb6QnISWTXSIb227tsIvr4QNlQ==" saltValue="X1Nf6b+dKOFB45t8OuDQ3g==" spinCount="100000" sheet="1" formatRows="0"/>
  <protectedRanges>
    <protectedRange sqref="C85" name="Rozstęp9"/>
    <protectedRange sqref="F83:F84 F86" name="Rozstęp6"/>
    <protectedRange sqref="F80" name="Rozstęp5"/>
    <protectedRange sqref="C46:C47 C50:C51 C55:C56 C59:C66 C69:C80" name="Rozstęp4"/>
    <protectedRange sqref="C14:C22 C25:C32 C35:C38 C41:C42" name="Rozstęp3"/>
    <protectedRange sqref="E9 E5:E6" name="Rozstęp2"/>
    <protectedRange sqref="C5:C11" name="Rozstęp1"/>
    <protectedRange sqref="F5" name="Rozstęp8"/>
  </protectedRanges>
  <mergeCells count="1">
    <mergeCell ref="B87:F88"/>
  </mergeCells>
  <conditionalFormatting sqref="C6">
    <cfRule type="expression" dxfId="22" priority="23">
      <formula>$C$6="-"</formula>
    </cfRule>
  </conditionalFormatting>
  <conditionalFormatting sqref="C5">
    <cfRule type="expression" dxfId="21" priority="22">
      <formula>$C$5="-"</formula>
    </cfRule>
  </conditionalFormatting>
  <conditionalFormatting sqref="C9">
    <cfRule type="expression" dxfId="20" priority="21">
      <formula>$C$9="-"</formula>
    </cfRule>
  </conditionalFormatting>
  <conditionalFormatting sqref="E9 E23 E36">
    <cfRule type="expression" dxfId="19" priority="20">
      <formula>AND(C8&lt;&gt;"Jeden (standard)",E9="-")</formula>
    </cfRule>
  </conditionalFormatting>
  <conditionalFormatting sqref="C16">
    <cfRule type="expression" dxfId="18" priority="18">
      <formula>$C$16="-"</formula>
    </cfRule>
  </conditionalFormatting>
  <conditionalFormatting sqref="C19">
    <cfRule type="expression" dxfId="17" priority="17">
      <formula>$C$19="-"</formula>
    </cfRule>
  </conditionalFormatting>
  <conditionalFormatting sqref="C20">
    <cfRule type="expression" dxfId="16" priority="16">
      <formula>(IF(AND(E20="Konieczna dostawka",AND(C20="-",C21="-")),1,IF(AND(E20="Konieczne 2 dostawki",OR(C20="-",C21="-")),1,0))=1)</formula>
    </cfRule>
  </conditionalFormatting>
  <conditionalFormatting sqref="C21">
    <cfRule type="expression" dxfId="15" priority="15">
      <formula>(IF(AND(E20="Konieczna dostawka",AND(C20="-",C21="-")),1,IF(AND(E20="Konieczne 2 dostawki",OR(C20="-",C21="-")),1,0))=1)</formula>
    </cfRule>
  </conditionalFormatting>
  <conditionalFormatting sqref="C22">
    <cfRule type="expression" dxfId="14" priority="14">
      <formula>AND($C$22="-",$E$22="Konieczne naświetle")</formula>
    </cfRule>
  </conditionalFormatting>
  <conditionalFormatting sqref="C41">
    <cfRule type="expression" dxfId="13" priority="13">
      <formula>$C$41="-"</formula>
    </cfRule>
  </conditionalFormatting>
  <conditionalFormatting sqref="C42">
    <cfRule type="expression" dxfId="12" priority="12">
      <formula>$C$42="-"</formula>
    </cfRule>
  </conditionalFormatting>
  <conditionalFormatting sqref="C46">
    <cfRule type="expression" dxfId="11" priority="11">
      <formula>AND($C$45&lt;&gt;"-",$C$46="-")</formula>
    </cfRule>
  </conditionalFormatting>
  <conditionalFormatting sqref="C50">
    <cfRule type="expression" dxfId="10" priority="10">
      <formula>AND($C$49&lt;&gt;"-",$C$50="-")</formula>
    </cfRule>
  </conditionalFormatting>
  <conditionalFormatting sqref="C55">
    <cfRule type="expression" dxfId="9" priority="9">
      <formula>AND($C$54&lt;&gt;"-",$C$55="-")</formula>
    </cfRule>
  </conditionalFormatting>
  <conditionalFormatting sqref="C60">
    <cfRule type="expression" dxfId="8" priority="8">
      <formula>$C$60="-"</formula>
    </cfRule>
  </conditionalFormatting>
  <conditionalFormatting sqref="C61">
    <cfRule type="expression" dxfId="7" priority="7">
      <formula>$C$61="-"</formula>
    </cfRule>
  </conditionalFormatting>
  <conditionalFormatting sqref="C62">
    <cfRule type="expression" dxfId="6" priority="6">
      <formula>$C$62="-"</formula>
    </cfRule>
  </conditionalFormatting>
  <conditionalFormatting sqref="C64">
    <cfRule type="expression" dxfId="5" priority="5">
      <formula>AND(C64="-",C59&lt;&gt;"Zestaw z pochwytem na styl amerykański")</formula>
    </cfRule>
  </conditionalFormatting>
  <conditionalFormatting sqref="C63">
    <cfRule type="expression" dxfId="4" priority="4">
      <formula>AND(IFERROR(FIND("Antab",$C$61),0)&gt;0,C63="-")</formula>
    </cfRule>
  </conditionalFormatting>
  <conditionalFormatting sqref="C65">
    <cfRule type="expression" dxfId="3" priority="3">
      <formula>AND(C59="Zestaw elektronik z zamkiem ryglowym",C65="-")</formula>
    </cfRule>
  </conditionalFormatting>
  <conditionalFormatting sqref="C66">
    <cfRule type="expression" dxfId="2" priority="2">
      <formula>AND(C59="Zestaw antywłamaniowy RC2",C66="-")</formula>
    </cfRule>
  </conditionalFormatting>
  <conditionalFormatting sqref="C69">
    <cfRule type="expression" dxfId="1" priority="1">
      <formula>AND(C59="Zestaw antywłamaniowy RC2",C69="-")</formula>
    </cfRule>
  </conditionalFormatting>
  <dataValidations count="43">
    <dataValidation type="list" allowBlank="1" showInputMessage="1" showErrorMessage="1" sqref="C5" xr:uid="{D72A0C09-311A-470A-9C72-9BF4EBBAD73B}">
      <formula1>ListaModele</formula1>
    </dataValidation>
    <dataValidation type="list" allowBlank="1" showInputMessage="1" showErrorMessage="1" sqref="C6" xr:uid="{6AA94A8A-BC80-495B-BA59-51AE98BB0C48}">
      <formula1>ListaSzklenie</formula1>
    </dataValidation>
    <dataValidation type="list" allowBlank="1" showInputMessage="1" showErrorMessage="1" sqref="C7" xr:uid="{281C9D79-FFD9-40A8-BD12-1A07C2DD4E59}">
      <formula1>ListaWykonczenie</formula1>
    </dataValidation>
    <dataValidation type="list" allowBlank="1" showInputMessage="1" showErrorMessage="1" sqref="C8" xr:uid="{74BFA48E-CF43-4FDC-9F1F-5817D3F11601}">
      <formula1>ListaIloscKolorow</formula1>
    </dataValidation>
    <dataValidation type="list" allowBlank="1" showInputMessage="1" showErrorMessage="1" sqref="C9 E9" xr:uid="{B80ADF64-800F-40FB-82B3-004CE6758FF0}">
      <formula1>ListaKolor</formula1>
    </dataValidation>
    <dataValidation type="list" allowBlank="1" showInputMessage="1" showErrorMessage="1" sqref="C10" xr:uid="{E63180A8-6D83-4B99-A7A4-97F2DDD6F8B3}">
      <formula1>ListaInox</formula1>
    </dataValidation>
    <dataValidation type="list" allowBlank="1" showInputMessage="1" showErrorMessage="1" sqref="C11" xr:uid="{41E87DBE-F021-40A5-BCEC-2C60CC053603}">
      <formula1>ListaKamien</formula1>
    </dataValidation>
    <dataValidation type="list" allowBlank="1" showInputMessage="1" showErrorMessage="1" sqref="C14" xr:uid="{9AEEFCFA-F101-4357-8114-0A81E5EE93A8}">
      <formula1>ListaPrzylgowosc</formula1>
    </dataValidation>
    <dataValidation type="list" allowBlank="1" showInputMessage="1" showErrorMessage="1" sqref="C16" xr:uid="{1A867355-548D-4BA6-9524-02267B2C3BD2}">
      <formula1>ListaGrubosc</formula1>
    </dataValidation>
    <dataValidation type="list" allowBlank="1" showInputMessage="1" showErrorMessage="1" sqref="C17" xr:uid="{792283A4-6190-4D30-96DF-BB8A3FB70ACF}">
      <formula1>ListaSzerokosc</formula1>
    </dataValidation>
    <dataValidation type="list" allowBlank="1" showInputMessage="1" showErrorMessage="1" sqref="C18" xr:uid="{72F191B3-050D-495B-8ABA-1885388FC7D4}">
      <formula1>ListaWysokosc</formula1>
    </dataValidation>
    <dataValidation type="list" allowBlank="1" showInputMessage="1" showErrorMessage="1" sqref="C19" xr:uid="{F8FCFF9B-9300-4363-BCFE-9671A306542D}">
      <formula1>ListaKierunek</formula1>
    </dataValidation>
    <dataValidation type="list" allowBlank="1" showInputMessage="1" showErrorMessage="1" sqref="C20:C21" xr:uid="{603E3CE8-E105-438F-BC54-DAEC5495B9CE}">
      <formula1>ListaDostawki</formula1>
    </dataValidation>
    <dataValidation type="list" allowBlank="1" showInputMessage="1" showErrorMessage="1" sqref="C22" xr:uid="{C68C2457-02BC-4DDF-B980-2105558CE15E}">
      <formula1>ListaNaswietle</formula1>
    </dataValidation>
    <dataValidation type="list" allowBlank="1" showInputMessage="1" showErrorMessage="1" sqref="C25" xr:uid="{2A8302AD-0B9D-4670-A6F6-F80518C668AD}">
      <formula1>ListaRodzajOscieznica</formula1>
    </dataValidation>
    <dataValidation type="list" allowBlank="1" showInputMessage="1" showErrorMessage="1" sqref="C26" xr:uid="{C8AF9DF7-FE0E-426C-B363-B9B69579E7E6}">
      <formula1>ListaAplikacja</formula1>
    </dataValidation>
    <dataValidation type="list" allowBlank="1" showInputMessage="1" showErrorMessage="1" sqref="C27" xr:uid="{876FF053-274E-4984-8EFC-03382756145E}">
      <formula1>Listagruboscgorna</formula1>
    </dataValidation>
    <dataValidation type="list" allowBlank="1" showInputMessage="1" showErrorMessage="1" sqref="C28" xr:uid="{3CC08683-6029-49CE-B2C1-70EA2A8A3768}">
      <formula1>Listagruboscboczna</formula1>
    </dataValidation>
    <dataValidation type="list" allowBlank="1" showInputMessage="1" showErrorMessage="1" sqref="C30" xr:uid="{F445B03F-0AA1-4B1A-BD62-3043FDBF080A}">
      <formula1>Listaoscieznicaszerokosc</formula1>
    </dataValidation>
    <dataValidation type="list" allowBlank="1" showInputMessage="1" showErrorMessage="1" sqref="C35" xr:uid="{15B06562-D952-4444-AC07-8E65E6D0AFBC}">
      <formula1>Listaopaskawew</formula1>
    </dataValidation>
    <dataValidation type="list" allowBlank="1" showInputMessage="1" showErrorMessage="1" sqref="C36" xr:uid="{D1868BB1-9FE7-486E-860A-77EB397C4120}">
      <formula1>Listaopaskazew</formula1>
    </dataValidation>
    <dataValidation type="list" allowBlank="1" showInputMessage="1" sqref="C41" xr:uid="{A2B7FE1B-B45C-4A52-88A5-C38CD5D5B919}">
      <formula1>Listaskrzydloszerokosc</formula1>
    </dataValidation>
    <dataValidation type="list" allowBlank="1" showInputMessage="1" sqref="C42" xr:uid="{9566738F-E274-498C-9898-A1E5250A0F11}">
      <formula1>Listaskrzydlowysokosc</formula1>
    </dataValidation>
    <dataValidation type="list" allowBlank="1" showInputMessage="1" showErrorMessage="1" sqref="C46" xr:uid="{1DAB0FB1-CB47-4E46-B2FD-3C128D372D8F}">
      <formula1>Listaszkleniedostawaodzawias</formula1>
    </dataValidation>
    <dataValidation type="list" allowBlank="1" showInputMessage="1" showErrorMessage="1" sqref="C51" xr:uid="{F6DAD5CE-7C96-4A87-9E79-9C2A7882ADD1}">
      <formula1>Listapolaodzamka</formula1>
    </dataValidation>
    <dataValidation type="list" allowBlank="1" showInputMessage="1" showErrorMessage="1" sqref="C47" xr:uid="{4F064540-619F-4FE5-BB0E-CE9D0D72C625}">
      <formula1>Listapolaodzawias</formula1>
    </dataValidation>
    <dataValidation type="list" allowBlank="1" showInputMessage="1" showErrorMessage="1" sqref="C50" xr:uid="{F14F441C-CD95-442F-B88C-E6810F2BA4B0}">
      <formula1>Listaszkleniedostawkaodzamka</formula1>
    </dataValidation>
    <dataValidation type="list" allowBlank="1" showInputMessage="1" showErrorMessage="1" sqref="C55" xr:uid="{7CF7278C-426E-47FF-B36E-78E0C442EDBD}">
      <formula1>SzklenieNaswietle</formula1>
    </dataValidation>
    <dataValidation type="list" allowBlank="1" showInputMessage="1" showErrorMessage="1" sqref="C56" xr:uid="{C31CDC04-ECDC-44C6-968D-898C664C51C6}">
      <formula1>Polanaswietle</formula1>
    </dataValidation>
    <dataValidation type="list" allowBlank="1" showInputMessage="1" showErrorMessage="1" sqref="C59" xr:uid="{ECC7B674-54EA-4DF8-BCA1-7136590BB995}">
      <formula1>Zestawyspecjalne</formula1>
    </dataValidation>
    <dataValidation type="list" allowBlank="1" showInputMessage="1" showErrorMessage="1" sqref="C60" xr:uid="{9BA924A3-8FA9-4138-B234-62827C119BAE}">
      <formula1>Zamek</formula1>
    </dataValidation>
    <dataValidation type="list" allowBlank="1" showInputMessage="1" showErrorMessage="1" sqref="C61" xr:uid="{223C8400-F84F-4939-8E9D-916FAA72E36A}">
      <formula1>OkuciaZew</formula1>
    </dataValidation>
    <dataValidation type="list" allowBlank="1" showInputMessage="1" showErrorMessage="1" sqref="C62" xr:uid="{F1BD6C55-E3FE-4891-9331-E26B4D294091}">
      <formula1>KolorOkucia</formula1>
    </dataValidation>
    <dataValidation type="list" allowBlank="1" showInputMessage="1" showErrorMessage="1" sqref="C63" xr:uid="{31E838F8-B451-46E2-AA61-061632CD1D62}">
      <formula1>DlugoscAntaby</formula1>
    </dataValidation>
    <dataValidation type="list" allowBlank="1" showInputMessage="1" showErrorMessage="1" sqref="C64" xr:uid="{A9C1AF5B-BB9E-4321-A3EB-E7C23DEC1A8C}">
      <formula1>Wkladka</formula1>
    </dataValidation>
    <dataValidation type="list" allowBlank="1" showInputMessage="1" showErrorMessage="1" sqref="C65" xr:uid="{54646826-B421-4113-9B2E-2BB3241558DC}">
      <formula1>Zapadka</formula1>
    </dataValidation>
    <dataValidation type="list" allowBlank="1" showInputMessage="1" showErrorMessage="1" sqref="C66" xr:uid="{72E89998-1A93-4AB0-900E-DE2EB7B19EB8}">
      <formula1>Listwazaczepowa</formula1>
    </dataValidation>
    <dataValidation type="list" allowBlank="1" showInputMessage="1" showErrorMessage="1" sqref="C69" xr:uid="{9B0DB2C7-14E3-499A-830C-8D060B30C269}">
      <formula1>ListaP4</formula1>
    </dataValidation>
    <dataValidation type="list" allowBlank="1" showInputMessage="1" showErrorMessage="1" sqref="C70" xr:uid="{1DA84754-15E9-4A11-ADEC-49BB8F11F496}">
      <formula1>Progi</formula1>
    </dataValidation>
    <dataValidation type="list" allowBlank="1" showInputMessage="1" showErrorMessage="1" sqref="C71" xr:uid="{37F6DDFB-F81E-4DD2-8CCF-C0FBF15B39A1}">
      <formula1>Adapter</formula1>
    </dataValidation>
    <dataValidation type="list" allowBlank="1" showInputMessage="1" showErrorMessage="1" sqref="C72:C73" xr:uid="{A9DC6B20-3BCC-46B1-B7A8-B2542831AECB}">
      <formula1>OkapnikKopniak</formula1>
    </dataValidation>
    <dataValidation type="list" allowBlank="1" showInputMessage="1" showErrorMessage="1" sqref="C29" xr:uid="{04D9D6F1-3DF0-4090-8D79-D630E57BE5AB}">
      <formula1>wymiarodzamka</formula1>
    </dataValidation>
    <dataValidation type="list" allowBlank="1" showInputMessage="1" showErrorMessage="1" sqref="C15" xr:uid="{F939A46D-76F3-4B76-8BA0-4347FFCB1FAF}">
      <formula1>Zawiasy_kolor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FF7230D-8DA6-462E-9A56-BBA47DFF2868}">
            <xm:f>AND(VLOOKUP(C5,SKU!$B$2:$E$743,4,0)="Prestige Kamień",C11="-")</xm:f>
            <x14:dxf>
              <fill>
                <patternFill>
                  <bgColor theme="7" tint="0.79998168889431442"/>
                </patternFill>
              </fill>
            </x14:dxf>
          </x14:cfRule>
          <xm:sqref>C11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A77EE3B-CE03-4AC8-A832-18A63C705034}">
          <x14:formula1>
            <xm:f>Mapping!$DW$3:$DW$33</xm:f>
          </x14:formula1>
          <xm:sqref>C31:C32</xm:sqref>
        </x14:dataValidation>
        <x14:dataValidation type="list" allowBlank="1" showInputMessage="1" showErrorMessage="1" xr:uid="{15D46349-A0B9-4A33-B989-273753F5F610}">
          <x14:formula1>
            <xm:f>Mapping!$EG$3:$EG$5</xm:f>
          </x14:formula1>
          <xm:sqref>C37</xm:sqref>
        </x14:dataValidation>
        <x14:dataValidation type="list" allowBlank="1" showInputMessage="1" showErrorMessage="1" xr:uid="{7F7EFB07-5AA9-4300-B07B-96D3D8ADAC4F}">
          <x14:formula1>
            <xm:f>Mapping!$EJ$3:$EJ$5</xm:f>
          </x14:formula1>
          <xm:sqref>C38</xm:sqref>
        </x14:dataValidation>
        <x14:dataValidation type="list" allowBlank="1" showInputMessage="1" showErrorMessage="1" xr:uid="{AA5CBE10-AF8C-41B3-86BF-60BB57A5021C}">
          <x14:formula1>
            <xm:f>Mapping!$IE$3:$IE$6</xm:f>
          </x14:formula1>
          <xm:sqref>C74</xm:sqref>
        </x14:dataValidation>
        <x14:dataValidation type="list" allowBlank="1" showInputMessage="1" showErrorMessage="1" xr:uid="{68C0B9A0-305A-45B1-AC24-5F017EBE7652}">
          <x14:formula1>
            <xm:f>Mapping!$IH$3:$IH$13</xm:f>
          </x14:formula1>
          <xm:sqref>C75</xm:sqref>
        </x14:dataValidation>
        <x14:dataValidation type="list" allowBlank="1" showInputMessage="1" showErrorMessage="1" xr:uid="{7C9289DB-D1C3-46AE-969C-38E20DB1A353}">
          <x14:formula1>
            <xm:f>Mapping!$IK$3:$IK$5</xm:f>
          </x14:formula1>
          <xm:sqref>C76</xm:sqref>
        </x14:dataValidation>
        <x14:dataValidation type="list" allowBlank="1" showInputMessage="1" showErrorMessage="1" xr:uid="{A941C8F8-4716-4E42-BE9F-AF2AA9CAE5C8}">
          <x14:formula1>
            <xm:f>Mapping!$IQ$3:$IQ$4</xm:f>
          </x14:formula1>
          <xm:sqref>C78</xm:sqref>
        </x14:dataValidation>
        <x14:dataValidation type="list" allowBlank="1" showInputMessage="1" showErrorMessage="1" xr:uid="{7898CE1B-F010-40D7-BD76-A6C4C1F88FED}">
          <x14:formula1>
            <xm:f>Mapping!$IT$3:$IT$4</xm:f>
          </x14:formula1>
          <xm:sqref>C79</xm:sqref>
        </x14:dataValidation>
        <x14:dataValidation type="list" allowBlank="1" showInputMessage="1" showErrorMessage="1" xr:uid="{1EABBA36-AEAC-4FF7-9F53-F412AF08D7BD}">
          <x14:formula1>
            <xm:f>Mapping!$IW$3:$IW$18</xm:f>
          </x14:formula1>
          <xm:sqref>F83</xm:sqref>
        </x14:dataValidation>
        <x14:dataValidation type="list" allowBlank="1" showInputMessage="1" showErrorMessage="1" xr:uid="{C54AA39A-C4AF-4722-AEE4-F3BD35F9080E}">
          <x14:formula1>
            <xm:f>Mapping!$IY$3:$IY$22</xm:f>
          </x14:formula1>
          <xm:sqref>F84</xm:sqref>
        </x14:dataValidation>
        <x14:dataValidation type="list" allowBlank="1" showInputMessage="1" showErrorMessage="1" xr:uid="{1045D23D-D364-4B1C-8B0E-CABC4B50E953}">
          <x14:formula1>
            <xm:f>Mapping!$JA$3:$JA$5</xm:f>
          </x14:formula1>
          <xm:sqref>C85</xm:sqref>
        </x14:dataValidation>
        <x14:dataValidation type="list" allowBlank="1" showInputMessage="1" showErrorMessage="1" xr:uid="{32B60406-22C6-48BF-BB3F-8D5C8E49A068}">
          <x14:formula1>
            <xm:f>Mapping!IN$3:IN$5</xm:f>
          </x14:formula1>
          <xm:sqref>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5B17-422B-4BB7-9B83-34A15A78D0A9}">
  <sheetPr codeName="Arkusz2"/>
  <dimension ref="A1:I743"/>
  <sheetViews>
    <sheetView zoomScale="120" zoomScaleNormal="120" workbookViewId="0">
      <pane xSplit="1" ySplit="1" topLeftCell="B47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0" defaultRowHeight="14.5" x14ac:dyDescent="0.35"/>
  <cols>
    <col min="1" max="1" width="12.08984375" hidden="1" customWidth="1"/>
    <col min="2" max="2" width="20.6328125" hidden="1" customWidth="1"/>
    <col min="3" max="3" width="17.453125" hidden="1" customWidth="1"/>
    <col min="4" max="4" width="12.36328125" hidden="1" customWidth="1"/>
    <col min="5" max="5" width="15.54296875" hidden="1" customWidth="1"/>
    <col min="6" max="6" width="32" hidden="1" customWidth="1"/>
    <col min="7" max="7" width="39.54296875" hidden="1" customWidth="1"/>
    <col min="8" max="9" width="20" hidden="1" customWidth="1"/>
    <col min="10" max="16384" width="9.08984375" hidden="1"/>
  </cols>
  <sheetData>
    <row r="1" spans="1:9" s="13" customFormat="1" x14ac:dyDescent="0.35">
      <c r="A1" s="13" t="s">
        <v>69</v>
      </c>
      <c r="B1" s="13" t="s">
        <v>801</v>
      </c>
      <c r="C1" s="13" t="s">
        <v>70</v>
      </c>
      <c r="D1" s="13" t="s">
        <v>269</v>
      </c>
      <c r="E1" s="13" t="s">
        <v>71</v>
      </c>
      <c r="F1" s="13" t="s">
        <v>7</v>
      </c>
      <c r="G1" s="13" t="s">
        <v>72</v>
      </c>
      <c r="H1" s="13" t="s">
        <v>290</v>
      </c>
      <c r="I1" s="13" t="s">
        <v>291</v>
      </c>
    </row>
    <row r="2" spans="1:9" x14ac:dyDescent="0.35">
      <c r="A2">
        <v>1</v>
      </c>
      <c r="B2" t="s">
        <v>73</v>
      </c>
      <c r="C2">
        <v>5600</v>
      </c>
      <c r="D2" t="s">
        <v>74</v>
      </c>
      <c r="E2" t="s">
        <v>75</v>
      </c>
      <c r="F2" t="s">
        <v>827</v>
      </c>
      <c r="G2" t="str">
        <f>B2&amp;F2</f>
        <v>DB 01Przezierne</v>
      </c>
    </row>
    <row r="3" spans="1:9" x14ac:dyDescent="0.35">
      <c r="A3">
        <v>1</v>
      </c>
      <c r="B3" t="s">
        <v>73</v>
      </c>
      <c r="C3">
        <v>5600</v>
      </c>
      <c r="D3" t="s">
        <v>74</v>
      </c>
      <c r="E3" t="s">
        <v>75</v>
      </c>
      <c r="F3" t="s">
        <v>76</v>
      </c>
      <c r="G3" t="str">
        <f t="shared" ref="G3:G66" si="0">B3&amp;F3</f>
        <v>DB 01Brąz refleks</v>
      </c>
    </row>
    <row r="4" spans="1:9" x14ac:dyDescent="0.35">
      <c r="A4">
        <v>1</v>
      </c>
      <c r="B4" t="s">
        <v>73</v>
      </c>
      <c r="C4">
        <v>5700</v>
      </c>
      <c r="D4" t="s">
        <v>74</v>
      </c>
      <c r="E4" t="s">
        <v>75</v>
      </c>
      <c r="F4" t="s">
        <v>8</v>
      </c>
      <c r="G4" t="str">
        <f t="shared" si="0"/>
        <v>DB 01Grafit refleks</v>
      </c>
    </row>
    <row r="5" spans="1:9" x14ac:dyDescent="0.35">
      <c r="A5">
        <v>1</v>
      </c>
      <c r="B5" t="s">
        <v>73</v>
      </c>
      <c r="C5">
        <v>5700</v>
      </c>
      <c r="D5" t="s">
        <v>74</v>
      </c>
      <c r="E5" t="s">
        <v>75</v>
      </c>
      <c r="F5" t="s">
        <v>43</v>
      </c>
      <c r="G5" t="str">
        <f t="shared" si="0"/>
        <v>DB 01Lustro weneckie</v>
      </c>
    </row>
    <row r="6" spans="1:9" x14ac:dyDescent="0.35">
      <c r="A6">
        <v>1</v>
      </c>
      <c r="B6" t="s">
        <v>73</v>
      </c>
      <c r="C6">
        <v>5900</v>
      </c>
      <c r="D6" t="s">
        <v>74</v>
      </c>
      <c r="E6" t="s">
        <v>75</v>
      </c>
      <c r="F6" t="s">
        <v>77</v>
      </c>
      <c r="G6" t="str">
        <f t="shared" si="0"/>
        <v>DB 01Mleczne</v>
      </c>
    </row>
    <row r="7" spans="1:9" x14ac:dyDescent="0.35">
      <c r="A7">
        <v>1</v>
      </c>
      <c r="B7" t="s">
        <v>73</v>
      </c>
      <c r="C7">
        <v>5900</v>
      </c>
      <c r="D7" t="s">
        <v>74</v>
      </c>
      <c r="E7" t="s">
        <v>75</v>
      </c>
      <c r="F7" t="s">
        <v>78</v>
      </c>
      <c r="G7" t="str">
        <f t="shared" si="0"/>
        <v>DB 01Piaskowane refleks</v>
      </c>
    </row>
    <row r="8" spans="1:9" x14ac:dyDescent="0.35">
      <c r="A8">
        <v>3</v>
      </c>
      <c r="B8" t="s">
        <v>79</v>
      </c>
      <c r="C8">
        <v>5400</v>
      </c>
      <c r="D8" t="s">
        <v>74</v>
      </c>
      <c r="E8" t="s">
        <v>75</v>
      </c>
      <c r="F8" t="s">
        <v>827</v>
      </c>
      <c r="G8" t="str">
        <f t="shared" si="0"/>
        <v>DB 03Przezierne</v>
      </c>
    </row>
    <row r="9" spans="1:9" x14ac:dyDescent="0.35">
      <c r="A9">
        <v>3</v>
      </c>
      <c r="B9" t="s">
        <v>79</v>
      </c>
      <c r="C9">
        <v>5400</v>
      </c>
      <c r="D9" t="s">
        <v>74</v>
      </c>
      <c r="E9" t="s">
        <v>75</v>
      </c>
      <c r="F9" t="s">
        <v>76</v>
      </c>
      <c r="G9" t="str">
        <f t="shared" si="0"/>
        <v>DB 03Brąz refleks</v>
      </c>
    </row>
    <row r="10" spans="1:9" x14ac:dyDescent="0.35">
      <c r="A10">
        <v>3</v>
      </c>
      <c r="B10" t="s">
        <v>79</v>
      </c>
      <c r="C10">
        <v>5500</v>
      </c>
      <c r="D10" t="s">
        <v>74</v>
      </c>
      <c r="E10" t="s">
        <v>75</v>
      </c>
      <c r="F10" t="s">
        <v>8</v>
      </c>
      <c r="G10" t="str">
        <f t="shared" si="0"/>
        <v>DB 03Grafit refleks</v>
      </c>
    </row>
    <row r="11" spans="1:9" x14ac:dyDescent="0.35">
      <c r="A11">
        <v>3</v>
      </c>
      <c r="B11" t="s">
        <v>79</v>
      </c>
      <c r="C11">
        <v>5500</v>
      </c>
      <c r="D11" t="s">
        <v>74</v>
      </c>
      <c r="E11" t="s">
        <v>75</v>
      </c>
      <c r="F11" t="s">
        <v>43</v>
      </c>
      <c r="G11" t="str">
        <f t="shared" si="0"/>
        <v>DB 03Lustro weneckie</v>
      </c>
    </row>
    <row r="12" spans="1:9" x14ac:dyDescent="0.35">
      <c r="A12">
        <v>3</v>
      </c>
      <c r="B12" t="s">
        <v>79</v>
      </c>
      <c r="C12">
        <v>5700</v>
      </c>
      <c r="D12" t="s">
        <v>74</v>
      </c>
      <c r="E12" t="s">
        <v>75</v>
      </c>
      <c r="F12" t="s">
        <v>77</v>
      </c>
      <c r="G12" t="str">
        <f t="shared" si="0"/>
        <v>DB 03Mleczne</v>
      </c>
    </row>
    <row r="13" spans="1:9" x14ac:dyDescent="0.35">
      <c r="A13">
        <v>4</v>
      </c>
      <c r="B13" t="s">
        <v>80</v>
      </c>
      <c r="C13">
        <v>5400</v>
      </c>
      <c r="D13" t="s">
        <v>74</v>
      </c>
      <c r="E13" t="s">
        <v>75</v>
      </c>
      <c r="F13" t="s">
        <v>827</v>
      </c>
      <c r="G13" t="str">
        <f t="shared" si="0"/>
        <v>DB 04Przezierne</v>
      </c>
    </row>
    <row r="14" spans="1:9" x14ac:dyDescent="0.35">
      <c r="A14">
        <v>4</v>
      </c>
      <c r="B14" t="s">
        <v>80</v>
      </c>
      <c r="C14">
        <v>5400</v>
      </c>
      <c r="D14" t="s">
        <v>74</v>
      </c>
      <c r="E14" t="s">
        <v>75</v>
      </c>
      <c r="F14" t="s">
        <v>76</v>
      </c>
      <c r="G14" t="str">
        <f t="shared" si="0"/>
        <v>DB 04Brąz refleks</v>
      </c>
    </row>
    <row r="15" spans="1:9" x14ac:dyDescent="0.35">
      <c r="A15">
        <v>4</v>
      </c>
      <c r="B15" t="s">
        <v>80</v>
      </c>
      <c r="C15">
        <v>5500</v>
      </c>
      <c r="D15" t="s">
        <v>74</v>
      </c>
      <c r="E15" t="s">
        <v>75</v>
      </c>
      <c r="F15" t="s">
        <v>8</v>
      </c>
      <c r="G15" t="str">
        <f t="shared" si="0"/>
        <v>DB 04Grafit refleks</v>
      </c>
    </row>
    <row r="16" spans="1:9" x14ac:dyDescent="0.35">
      <c r="A16">
        <v>4</v>
      </c>
      <c r="B16" t="s">
        <v>80</v>
      </c>
      <c r="C16">
        <v>5500</v>
      </c>
      <c r="D16" t="s">
        <v>74</v>
      </c>
      <c r="E16" t="s">
        <v>75</v>
      </c>
      <c r="F16" t="s">
        <v>43</v>
      </c>
      <c r="G16" t="str">
        <f t="shared" si="0"/>
        <v>DB 04Lustro weneckie</v>
      </c>
    </row>
    <row r="17" spans="1:7" x14ac:dyDescent="0.35">
      <c r="A17">
        <v>4</v>
      </c>
      <c r="B17" t="s">
        <v>80</v>
      </c>
      <c r="C17">
        <v>5700</v>
      </c>
      <c r="D17" t="s">
        <v>74</v>
      </c>
      <c r="E17" t="s">
        <v>75</v>
      </c>
      <c r="F17" t="s">
        <v>77</v>
      </c>
      <c r="G17" t="str">
        <f t="shared" si="0"/>
        <v>DB 04Mleczne</v>
      </c>
    </row>
    <row r="18" spans="1:7" x14ac:dyDescent="0.35">
      <c r="A18">
        <v>7</v>
      </c>
      <c r="B18" t="s">
        <v>81</v>
      </c>
      <c r="C18">
        <v>5400</v>
      </c>
      <c r="D18" t="s">
        <v>74</v>
      </c>
      <c r="E18" t="s">
        <v>75</v>
      </c>
      <c r="F18" t="s">
        <v>827</v>
      </c>
      <c r="G18" t="str">
        <f t="shared" si="0"/>
        <v>DB 07Przezierne</v>
      </c>
    </row>
    <row r="19" spans="1:7" x14ac:dyDescent="0.35">
      <c r="A19">
        <v>7</v>
      </c>
      <c r="B19" t="s">
        <v>81</v>
      </c>
      <c r="C19">
        <v>5400</v>
      </c>
      <c r="D19" t="s">
        <v>74</v>
      </c>
      <c r="E19" t="s">
        <v>75</v>
      </c>
      <c r="F19" t="s">
        <v>76</v>
      </c>
      <c r="G19" t="str">
        <f t="shared" si="0"/>
        <v>DB 07Brąz refleks</v>
      </c>
    </row>
    <row r="20" spans="1:7" x14ac:dyDescent="0.35">
      <c r="A20">
        <v>7</v>
      </c>
      <c r="B20" t="s">
        <v>81</v>
      </c>
      <c r="C20">
        <v>5500</v>
      </c>
      <c r="D20" t="s">
        <v>74</v>
      </c>
      <c r="E20" t="s">
        <v>75</v>
      </c>
      <c r="F20" t="s">
        <v>8</v>
      </c>
      <c r="G20" t="str">
        <f t="shared" si="0"/>
        <v>DB 07Grafit refleks</v>
      </c>
    </row>
    <row r="21" spans="1:7" x14ac:dyDescent="0.35">
      <c r="A21">
        <v>7</v>
      </c>
      <c r="B21" t="s">
        <v>81</v>
      </c>
      <c r="C21">
        <v>5500</v>
      </c>
      <c r="D21" t="s">
        <v>74</v>
      </c>
      <c r="E21" t="s">
        <v>75</v>
      </c>
      <c r="F21" t="s">
        <v>43</v>
      </c>
      <c r="G21" t="str">
        <f t="shared" si="0"/>
        <v>DB 07Lustro weneckie</v>
      </c>
    </row>
    <row r="22" spans="1:7" x14ac:dyDescent="0.35">
      <c r="A22">
        <v>7</v>
      </c>
      <c r="B22" t="s">
        <v>81</v>
      </c>
      <c r="C22">
        <v>5700</v>
      </c>
      <c r="D22" t="s">
        <v>74</v>
      </c>
      <c r="E22" t="s">
        <v>75</v>
      </c>
      <c r="F22" t="s">
        <v>77</v>
      </c>
      <c r="G22" t="str">
        <f t="shared" si="0"/>
        <v>DB 07Mleczne</v>
      </c>
    </row>
    <row r="23" spans="1:7" x14ac:dyDescent="0.35">
      <c r="A23">
        <v>9</v>
      </c>
      <c r="B23" t="s">
        <v>82</v>
      </c>
      <c r="C23">
        <v>5400</v>
      </c>
      <c r="D23" t="s">
        <v>74</v>
      </c>
      <c r="E23" t="s">
        <v>75</v>
      </c>
      <c r="F23" t="s">
        <v>827</v>
      </c>
      <c r="G23" t="str">
        <f t="shared" si="0"/>
        <v>DB 09aPrzezierne</v>
      </c>
    </row>
    <row r="24" spans="1:7" x14ac:dyDescent="0.35">
      <c r="A24">
        <v>9</v>
      </c>
      <c r="B24" t="s">
        <v>82</v>
      </c>
      <c r="C24">
        <v>5400</v>
      </c>
      <c r="D24" t="s">
        <v>74</v>
      </c>
      <c r="E24" t="s">
        <v>75</v>
      </c>
      <c r="F24" t="s">
        <v>76</v>
      </c>
      <c r="G24" t="str">
        <f t="shared" si="0"/>
        <v>DB 09aBrąz refleks</v>
      </c>
    </row>
    <row r="25" spans="1:7" x14ac:dyDescent="0.35">
      <c r="A25">
        <v>9</v>
      </c>
      <c r="B25" t="s">
        <v>82</v>
      </c>
      <c r="C25">
        <v>5500</v>
      </c>
      <c r="D25" t="s">
        <v>74</v>
      </c>
      <c r="E25" t="s">
        <v>75</v>
      </c>
      <c r="F25" t="s">
        <v>8</v>
      </c>
      <c r="G25" t="str">
        <f t="shared" si="0"/>
        <v>DB 09aGrafit refleks</v>
      </c>
    </row>
    <row r="26" spans="1:7" x14ac:dyDescent="0.35">
      <c r="A26">
        <v>9</v>
      </c>
      <c r="B26" t="s">
        <v>82</v>
      </c>
      <c r="C26">
        <v>5500</v>
      </c>
      <c r="D26" t="s">
        <v>74</v>
      </c>
      <c r="E26" t="s">
        <v>75</v>
      </c>
      <c r="F26" t="s">
        <v>43</v>
      </c>
      <c r="G26" t="str">
        <f t="shared" si="0"/>
        <v>DB 09aLustro weneckie</v>
      </c>
    </row>
    <row r="27" spans="1:7" x14ac:dyDescent="0.35">
      <c r="A27">
        <v>9</v>
      </c>
      <c r="B27" t="s">
        <v>82</v>
      </c>
      <c r="C27">
        <v>5700</v>
      </c>
      <c r="D27" t="s">
        <v>74</v>
      </c>
      <c r="E27" t="s">
        <v>75</v>
      </c>
      <c r="F27" t="s">
        <v>77</v>
      </c>
      <c r="G27" t="str">
        <f t="shared" si="0"/>
        <v>DB 09aMleczne</v>
      </c>
    </row>
    <row r="28" spans="1:7" x14ac:dyDescent="0.35">
      <c r="A28">
        <v>10</v>
      </c>
      <c r="B28" t="s">
        <v>83</v>
      </c>
      <c r="C28">
        <v>5400</v>
      </c>
      <c r="D28" t="s">
        <v>74</v>
      </c>
      <c r="E28" t="s">
        <v>75</v>
      </c>
      <c r="F28" t="s">
        <v>827</v>
      </c>
      <c r="G28" t="str">
        <f t="shared" si="0"/>
        <v>DB 10Przezierne</v>
      </c>
    </row>
    <row r="29" spans="1:7" x14ac:dyDescent="0.35">
      <c r="A29">
        <v>10</v>
      </c>
      <c r="B29" t="s">
        <v>83</v>
      </c>
      <c r="C29">
        <v>5400</v>
      </c>
      <c r="D29" t="s">
        <v>74</v>
      </c>
      <c r="E29" t="s">
        <v>75</v>
      </c>
      <c r="F29" t="s">
        <v>76</v>
      </c>
      <c r="G29" t="str">
        <f t="shared" si="0"/>
        <v>DB 10Brąz refleks</v>
      </c>
    </row>
    <row r="30" spans="1:7" x14ac:dyDescent="0.35">
      <c r="A30">
        <v>10</v>
      </c>
      <c r="B30" t="s">
        <v>83</v>
      </c>
      <c r="C30">
        <v>5500</v>
      </c>
      <c r="D30" t="s">
        <v>74</v>
      </c>
      <c r="E30" t="s">
        <v>75</v>
      </c>
      <c r="F30" t="s">
        <v>8</v>
      </c>
      <c r="G30" t="str">
        <f t="shared" si="0"/>
        <v>DB 10Grafit refleks</v>
      </c>
    </row>
    <row r="31" spans="1:7" x14ac:dyDescent="0.35">
      <c r="A31">
        <v>10</v>
      </c>
      <c r="B31" t="s">
        <v>83</v>
      </c>
      <c r="C31">
        <v>5500</v>
      </c>
      <c r="D31" t="s">
        <v>74</v>
      </c>
      <c r="E31" t="s">
        <v>75</v>
      </c>
      <c r="F31" t="s">
        <v>43</v>
      </c>
      <c r="G31" t="str">
        <f t="shared" si="0"/>
        <v>DB 10Lustro weneckie</v>
      </c>
    </row>
    <row r="32" spans="1:7" x14ac:dyDescent="0.35">
      <c r="A32">
        <v>10</v>
      </c>
      <c r="B32" t="s">
        <v>83</v>
      </c>
      <c r="C32">
        <v>5700</v>
      </c>
      <c r="D32" t="s">
        <v>74</v>
      </c>
      <c r="E32" t="s">
        <v>75</v>
      </c>
      <c r="F32" t="s">
        <v>77</v>
      </c>
      <c r="G32" t="str">
        <f t="shared" si="0"/>
        <v>DB 10Mleczne</v>
      </c>
    </row>
    <row r="33" spans="1:7" x14ac:dyDescent="0.35">
      <c r="A33">
        <v>11</v>
      </c>
      <c r="B33" t="s">
        <v>84</v>
      </c>
      <c r="C33">
        <v>5400</v>
      </c>
      <c r="D33" t="s">
        <v>74</v>
      </c>
      <c r="E33" t="s">
        <v>75</v>
      </c>
      <c r="F33" t="s">
        <v>827</v>
      </c>
      <c r="G33" t="str">
        <f t="shared" si="0"/>
        <v>DB 11Przezierne</v>
      </c>
    </row>
    <row r="34" spans="1:7" x14ac:dyDescent="0.35">
      <c r="A34">
        <v>11</v>
      </c>
      <c r="B34" t="s">
        <v>84</v>
      </c>
      <c r="C34">
        <v>5400</v>
      </c>
      <c r="D34" t="s">
        <v>74</v>
      </c>
      <c r="E34" t="s">
        <v>75</v>
      </c>
      <c r="F34" t="s">
        <v>76</v>
      </c>
      <c r="G34" t="str">
        <f t="shared" si="0"/>
        <v>DB 11Brąz refleks</v>
      </c>
    </row>
    <row r="35" spans="1:7" x14ac:dyDescent="0.35">
      <c r="A35">
        <v>11</v>
      </c>
      <c r="B35" t="s">
        <v>84</v>
      </c>
      <c r="C35">
        <v>5500</v>
      </c>
      <c r="D35" t="s">
        <v>74</v>
      </c>
      <c r="E35" t="s">
        <v>75</v>
      </c>
      <c r="F35" t="s">
        <v>8</v>
      </c>
      <c r="G35" t="str">
        <f t="shared" si="0"/>
        <v>DB 11Grafit refleks</v>
      </c>
    </row>
    <row r="36" spans="1:7" x14ac:dyDescent="0.35">
      <c r="A36">
        <v>11</v>
      </c>
      <c r="B36" t="s">
        <v>84</v>
      </c>
      <c r="C36">
        <v>5500</v>
      </c>
      <c r="D36" t="s">
        <v>74</v>
      </c>
      <c r="E36" t="s">
        <v>75</v>
      </c>
      <c r="F36" t="s">
        <v>43</v>
      </c>
      <c r="G36" t="str">
        <f t="shared" si="0"/>
        <v>DB 11Lustro weneckie</v>
      </c>
    </row>
    <row r="37" spans="1:7" x14ac:dyDescent="0.35">
      <c r="A37">
        <v>11</v>
      </c>
      <c r="B37" t="s">
        <v>84</v>
      </c>
      <c r="C37">
        <v>5700</v>
      </c>
      <c r="D37" t="s">
        <v>74</v>
      </c>
      <c r="E37" t="s">
        <v>75</v>
      </c>
      <c r="F37" t="s">
        <v>77</v>
      </c>
      <c r="G37" t="str">
        <f t="shared" si="0"/>
        <v>DB 11Mleczne</v>
      </c>
    </row>
    <row r="38" spans="1:7" x14ac:dyDescent="0.35">
      <c r="A38">
        <v>12</v>
      </c>
      <c r="B38" t="s">
        <v>85</v>
      </c>
      <c r="C38">
        <v>5400</v>
      </c>
      <c r="D38" t="s">
        <v>74</v>
      </c>
      <c r="E38" t="s">
        <v>75</v>
      </c>
      <c r="F38" t="s">
        <v>827</v>
      </c>
      <c r="G38" t="str">
        <f t="shared" si="0"/>
        <v>DB 12Przezierne</v>
      </c>
    </row>
    <row r="39" spans="1:7" x14ac:dyDescent="0.35">
      <c r="A39">
        <v>12</v>
      </c>
      <c r="B39" t="s">
        <v>85</v>
      </c>
      <c r="C39">
        <v>5400</v>
      </c>
      <c r="D39" t="s">
        <v>74</v>
      </c>
      <c r="E39" t="s">
        <v>75</v>
      </c>
      <c r="F39" t="s">
        <v>76</v>
      </c>
      <c r="G39" t="str">
        <f t="shared" si="0"/>
        <v>DB 12Brąz refleks</v>
      </c>
    </row>
    <row r="40" spans="1:7" x14ac:dyDescent="0.35">
      <c r="A40">
        <v>12</v>
      </c>
      <c r="B40" t="s">
        <v>85</v>
      </c>
      <c r="C40">
        <v>5500</v>
      </c>
      <c r="D40" t="s">
        <v>74</v>
      </c>
      <c r="E40" t="s">
        <v>75</v>
      </c>
      <c r="F40" t="s">
        <v>8</v>
      </c>
      <c r="G40" t="str">
        <f t="shared" si="0"/>
        <v>DB 12Grafit refleks</v>
      </c>
    </row>
    <row r="41" spans="1:7" x14ac:dyDescent="0.35">
      <c r="A41">
        <v>12</v>
      </c>
      <c r="B41" t="s">
        <v>85</v>
      </c>
      <c r="C41">
        <v>5500</v>
      </c>
      <c r="D41" t="s">
        <v>74</v>
      </c>
      <c r="E41" t="s">
        <v>75</v>
      </c>
      <c r="F41" t="s">
        <v>43</v>
      </c>
      <c r="G41" t="str">
        <f t="shared" si="0"/>
        <v>DB 12Lustro weneckie</v>
      </c>
    </row>
    <row r="42" spans="1:7" x14ac:dyDescent="0.35">
      <c r="A42">
        <v>12</v>
      </c>
      <c r="B42" t="s">
        <v>85</v>
      </c>
      <c r="C42">
        <v>5700</v>
      </c>
      <c r="D42" t="s">
        <v>74</v>
      </c>
      <c r="E42" t="s">
        <v>75</v>
      </c>
      <c r="F42" t="s">
        <v>77</v>
      </c>
      <c r="G42" t="str">
        <f t="shared" si="0"/>
        <v>DB 12Mleczne</v>
      </c>
    </row>
    <row r="43" spans="1:7" x14ac:dyDescent="0.35">
      <c r="A43">
        <v>12</v>
      </c>
      <c r="B43" t="s">
        <v>85</v>
      </c>
      <c r="C43">
        <v>5700</v>
      </c>
      <c r="D43" t="s">
        <v>74</v>
      </c>
      <c r="E43" t="s">
        <v>75</v>
      </c>
      <c r="F43" t="s">
        <v>78</v>
      </c>
      <c r="G43" t="str">
        <f t="shared" si="0"/>
        <v>DB 12Piaskowane refleks</v>
      </c>
    </row>
    <row r="44" spans="1:7" x14ac:dyDescent="0.35">
      <c r="A44">
        <v>14</v>
      </c>
      <c r="B44" t="s">
        <v>86</v>
      </c>
      <c r="C44">
        <v>5400</v>
      </c>
      <c r="D44" t="s">
        <v>74</v>
      </c>
      <c r="E44" t="s">
        <v>75</v>
      </c>
      <c r="F44" t="s">
        <v>827</v>
      </c>
      <c r="G44" t="str">
        <f t="shared" si="0"/>
        <v>DB 14Przezierne</v>
      </c>
    </row>
    <row r="45" spans="1:7" x14ac:dyDescent="0.35">
      <c r="A45">
        <v>14</v>
      </c>
      <c r="B45" t="s">
        <v>86</v>
      </c>
      <c r="C45">
        <v>5400</v>
      </c>
      <c r="D45" t="s">
        <v>74</v>
      </c>
      <c r="E45" t="s">
        <v>75</v>
      </c>
      <c r="F45" t="s">
        <v>76</v>
      </c>
      <c r="G45" t="str">
        <f t="shared" si="0"/>
        <v>DB 14Brąz refleks</v>
      </c>
    </row>
    <row r="46" spans="1:7" x14ac:dyDescent="0.35">
      <c r="A46">
        <v>14</v>
      </c>
      <c r="B46" t="s">
        <v>86</v>
      </c>
      <c r="C46">
        <v>5500</v>
      </c>
      <c r="D46" t="s">
        <v>74</v>
      </c>
      <c r="E46" t="s">
        <v>75</v>
      </c>
      <c r="F46" t="s">
        <v>8</v>
      </c>
      <c r="G46" t="str">
        <f t="shared" si="0"/>
        <v>DB 14Grafit refleks</v>
      </c>
    </row>
    <row r="47" spans="1:7" x14ac:dyDescent="0.35">
      <c r="A47">
        <v>14</v>
      </c>
      <c r="B47" t="s">
        <v>86</v>
      </c>
      <c r="C47">
        <v>5500</v>
      </c>
      <c r="D47" t="s">
        <v>74</v>
      </c>
      <c r="E47" t="s">
        <v>75</v>
      </c>
      <c r="F47" t="s">
        <v>43</v>
      </c>
      <c r="G47" t="str">
        <f t="shared" si="0"/>
        <v>DB 14Lustro weneckie</v>
      </c>
    </row>
    <row r="48" spans="1:7" x14ac:dyDescent="0.35">
      <c r="A48">
        <v>14</v>
      </c>
      <c r="B48" t="s">
        <v>86</v>
      </c>
      <c r="C48">
        <v>5700</v>
      </c>
      <c r="D48" t="s">
        <v>74</v>
      </c>
      <c r="E48" t="s">
        <v>75</v>
      </c>
      <c r="F48" t="s">
        <v>77</v>
      </c>
      <c r="G48" t="str">
        <f t="shared" si="0"/>
        <v>DB 14Mleczne</v>
      </c>
    </row>
    <row r="49" spans="1:7" x14ac:dyDescent="0.35">
      <c r="A49">
        <v>17</v>
      </c>
      <c r="B49" t="s">
        <v>87</v>
      </c>
      <c r="C49">
        <v>5400</v>
      </c>
      <c r="D49" t="s">
        <v>74</v>
      </c>
      <c r="E49" t="s">
        <v>75</v>
      </c>
      <c r="F49" t="s">
        <v>827</v>
      </c>
      <c r="G49" t="str">
        <f t="shared" si="0"/>
        <v>DB 17Przezierne</v>
      </c>
    </row>
    <row r="50" spans="1:7" x14ac:dyDescent="0.35">
      <c r="A50">
        <v>17</v>
      </c>
      <c r="B50" t="s">
        <v>87</v>
      </c>
      <c r="C50">
        <v>5400</v>
      </c>
      <c r="D50" t="s">
        <v>74</v>
      </c>
      <c r="E50" t="s">
        <v>75</v>
      </c>
      <c r="F50" t="s">
        <v>76</v>
      </c>
      <c r="G50" t="str">
        <f t="shared" si="0"/>
        <v>DB 17Brąz refleks</v>
      </c>
    </row>
    <row r="51" spans="1:7" x14ac:dyDescent="0.35">
      <c r="A51">
        <v>17</v>
      </c>
      <c r="B51" t="s">
        <v>87</v>
      </c>
      <c r="C51">
        <v>5500</v>
      </c>
      <c r="D51" t="s">
        <v>74</v>
      </c>
      <c r="E51" t="s">
        <v>75</v>
      </c>
      <c r="F51" t="s">
        <v>8</v>
      </c>
      <c r="G51" t="str">
        <f t="shared" si="0"/>
        <v>DB 17Grafit refleks</v>
      </c>
    </row>
    <row r="52" spans="1:7" x14ac:dyDescent="0.35">
      <c r="A52">
        <v>17</v>
      </c>
      <c r="B52" t="s">
        <v>87</v>
      </c>
      <c r="C52">
        <v>5500</v>
      </c>
      <c r="D52" t="s">
        <v>74</v>
      </c>
      <c r="E52" t="s">
        <v>75</v>
      </c>
      <c r="F52" t="s">
        <v>43</v>
      </c>
      <c r="G52" t="str">
        <f t="shared" si="0"/>
        <v>DB 17Lustro weneckie</v>
      </c>
    </row>
    <row r="53" spans="1:7" x14ac:dyDescent="0.35">
      <c r="A53">
        <v>17</v>
      </c>
      <c r="B53" t="s">
        <v>87</v>
      </c>
      <c r="C53">
        <v>5500</v>
      </c>
      <c r="D53" t="s">
        <v>74</v>
      </c>
      <c r="E53" t="s">
        <v>75</v>
      </c>
      <c r="F53" t="s">
        <v>77</v>
      </c>
      <c r="G53" t="str">
        <f t="shared" si="0"/>
        <v>DB 17Mleczne</v>
      </c>
    </row>
    <row r="54" spans="1:7" x14ac:dyDescent="0.35">
      <c r="A54">
        <v>17</v>
      </c>
      <c r="B54" t="s">
        <v>87</v>
      </c>
      <c r="C54">
        <v>5700</v>
      </c>
      <c r="D54" t="s">
        <v>74</v>
      </c>
      <c r="E54" t="s">
        <v>75</v>
      </c>
      <c r="F54" t="s">
        <v>78</v>
      </c>
      <c r="G54" t="str">
        <f t="shared" si="0"/>
        <v>DB 17Piaskowane refleks</v>
      </c>
    </row>
    <row r="55" spans="1:7" x14ac:dyDescent="0.35">
      <c r="A55">
        <v>17</v>
      </c>
      <c r="B55" t="s">
        <v>87</v>
      </c>
      <c r="C55">
        <v>5700</v>
      </c>
      <c r="D55" t="s">
        <v>74</v>
      </c>
      <c r="E55" t="s">
        <v>75</v>
      </c>
      <c r="F55" t="s">
        <v>88</v>
      </c>
      <c r="G55" t="str">
        <f t="shared" si="0"/>
        <v>DB 17Brąz refleks wypukły</v>
      </c>
    </row>
    <row r="56" spans="1:7" x14ac:dyDescent="0.35">
      <c r="A56">
        <v>18</v>
      </c>
      <c r="B56" t="s">
        <v>89</v>
      </c>
      <c r="C56">
        <v>5400</v>
      </c>
      <c r="D56" t="s">
        <v>74</v>
      </c>
      <c r="E56" t="s">
        <v>75</v>
      </c>
      <c r="F56" t="s">
        <v>827</v>
      </c>
      <c r="G56" t="str">
        <f t="shared" si="0"/>
        <v>DB 18Przezierne</v>
      </c>
    </row>
    <row r="57" spans="1:7" x14ac:dyDescent="0.35">
      <c r="A57">
        <v>18</v>
      </c>
      <c r="B57" t="s">
        <v>89</v>
      </c>
      <c r="C57">
        <v>5400</v>
      </c>
      <c r="D57" t="s">
        <v>74</v>
      </c>
      <c r="E57" t="s">
        <v>75</v>
      </c>
      <c r="F57" t="s">
        <v>76</v>
      </c>
      <c r="G57" t="str">
        <f t="shared" si="0"/>
        <v>DB 18Brąz refleks</v>
      </c>
    </row>
    <row r="58" spans="1:7" x14ac:dyDescent="0.35">
      <c r="A58">
        <v>18</v>
      </c>
      <c r="B58" t="s">
        <v>89</v>
      </c>
      <c r="C58">
        <v>5500</v>
      </c>
      <c r="D58" t="s">
        <v>74</v>
      </c>
      <c r="E58" t="s">
        <v>75</v>
      </c>
      <c r="F58" t="s">
        <v>8</v>
      </c>
      <c r="G58" t="str">
        <f t="shared" si="0"/>
        <v>DB 18Grafit refleks</v>
      </c>
    </row>
    <row r="59" spans="1:7" x14ac:dyDescent="0.35">
      <c r="A59">
        <v>18</v>
      </c>
      <c r="B59" t="s">
        <v>89</v>
      </c>
      <c r="C59">
        <v>5500</v>
      </c>
      <c r="D59" t="s">
        <v>74</v>
      </c>
      <c r="E59" t="s">
        <v>75</v>
      </c>
      <c r="F59" t="s">
        <v>43</v>
      </c>
      <c r="G59" t="str">
        <f t="shared" si="0"/>
        <v>DB 18Lustro weneckie</v>
      </c>
    </row>
    <row r="60" spans="1:7" x14ac:dyDescent="0.35">
      <c r="A60">
        <v>18</v>
      </c>
      <c r="B60" t="s">
        <v>89</v>
      </c>
      <c r="C60">
        <v>5700</v>
      </c>
      <c r="D60" t="s">
        <v>74</v>
      </c>
      <c r="E60" t="s">
        <v>75</v>
      </c>
      <c r="F60" t="s">
        <v>77</v>
      </c>
      <c r="G60" t="str">
        <f t="shared" si="0"/>
        <v>DB 18Mleczne</v>
      </c>
    </row>
    <row r="61" spans="1:7" x14ac:dyDescent="0.35">
      <c r="A61">
        <v>18</v>
      </c>
      <c r="B61" t="s">
        <v>89</v>
      </c>
      <c r="C61">
        <v>5700</v>
      </c>
      <c r="D61" t="s">
        <v>74</v>
      </c>
      <c r="E61" t="s">
        <v>75</v>
      </c>
      <c r="F61" t="s">
        <v>88</v>
      </c>
      <c r="G61" t="str">
        <f t="shared" si="0"/>
        <v>DB 18Brąz refleks wypukły</v>
      </c>
    </row>
    <row r="62" spans="1:7" x14ac:dyDescent="0.35">
      <c r="A62">
        <v>19</v>
      </c>
      <c r="B62" t="s">
        <v>90</v>
      </c>
      <c r="C62">
        <v>5400</v>
      </c>
      <c r="D62" t="s">
        <v>74</v>
      </c>
      <c r="E62" t="s">
        <v>75</v>
      </c>
      <c r="F62" t="s">
        <v>827</v>
      </c>
      <c r="G62" t="str">
        <f t="shared" si="0"/>
        <v>DB 19aPrzezierne</v>
      </c>
    </row>
    <row r="63" spans="1:7" x14ac:dyDescent="0.35">
      <c r="A63">
        <v>19</v>
      </c>
      <c r="B63" t="s">
        <v>90</v>
      </c>
      <c r="C63">
        <v>5400</v>
      </c>
      <c r="D63" t="s">
        <v>74</v>
      </c>
      <c r="E63" t="s">
        <v>75</v>
      </c>
      <c r="F63" t="s">
        <v>76</v>
      </c>
      <c r="G63" t="str">
        <f t="shared" si="0"/>
        <v>DB 19aBrąz refleks</v>
      </c>
    </row>
    <row r="64" spans="1:7" x14ac:dyDescent="0.35">
      <c r="A64">
        <v>19</v>
      </c>
      <c r="B64" t="s">
        <v>90</v>
      </c>
      <c r="C64">
        <v>5500</v>
      </c>
      <c r="D64" t="s">
        <v>74</v>
      </c>
      <c r="E64" t="s">
        <v>75</v>
      </c>
      <c r="F64" t="s">
        <v>8</v>
      </c>
      <c r="G64" t="str">
        <f t="shared" si="0"/>
        <v>DB 19aGrafit refleks</v>
      </c>
    </row>
    <row r="65" spans="1:7" x14ac:dyDescent="0.35">
      <c r="A65">
        <v>19</v>
      </c>
      <c r="B65" t="s">
        <v>90</v>
      </c>
      <c r="C65">
        <v>5500</v>
      </c>
      <c r="D65" t="s">
        <v>74</v>
      </c>
      <c r="E65" t="s">
        <v>75</v>
      </c>
      <c r="F65" t="s">
        <v>43</v>
      </c>
      <c r="G65" t="str">
        <f t="shared" si="0"/>
        <v>DB 19aLustro weneckie</v>
      </c>
    </row>
    <row r="66" spans="1:7" x14ac:dyDescent="0.35">
      <c r="A66">
        <v>19</v>
      </c>
      <c r="B66" t="s">
        <v>90</v>
      </c>
      <c r="C66">
        <v>5700</v>
      </c>
      <c r="D66" t="s">
        <v>74</v>
      </c>
      <c r="E66" t="s">
        <v>75</v>
      </c>
      <c r="F66" t="s">
        <v>77</v>
      </c>
      <c r="G66" t="str">
        <f t="shared" si="0"/>
        <v>DB 19aMleczne</v>
      </c>
    </row>
    <row r="67" spans="1:7" x14ac:dyDescent="0.35">
      <c r="A67">
        <v>20</v>
      </c>
      <c r="B67" t="s">
        <v>91</v>
      </c>
      <c r="C67">
        <v>5400</v>
      </c>
      <c r="D67" t="s">
        <v>74</v>
      </c>
      <c r="E67" t="s">
        <v>75</v>
      </c>
      <c r="F67" t="s">
        <v>827</v>
      </c>
      <c r="G67" t="str">
        <f t="shared" ref="G67:G128" si="1">B67&amp;F67</f>
        <v>DB 20Przezierne</v>
      </c>
    </row>
    <row r="68" spans="1:7" x14ac:dyDescent="0.35">
      <c r="A68">
        <v>20</v>
      </c>
      <c r="B68" t="s">
        <v>91</v>
      </c>
      <c r="C68">
        <v>5400</v>
      </c>
      <c r="D68" t="s">
        <v>74</v>
      </c>
      <c r="E68" t="s">
        <v>75</v>
      </c>
      <c r="F68" t="s">
        <v>76</v>
      </c>
      <c r="G68" t="str">
        <f t="shared" si="1"/>
        <v>DB 20Brąz refleks</v>
      </c>
    </row>
    <row r="69" spans="1:7" x14ac:dyDescent="0.35">
      <c r="A69">
        <v>20</v>
      </c>
      <c r="B69" t="s">
        <v>91</v>
      </c>
      <c r="C69">
        <v>5500</v>
      </c>
      <c r="D69" t="s">
        <v>74</v>
      </c>
      <c r="E69" t="s">
        <v>75</v>
      </c>
      <c r="F69" t="s">
        <v>8</v>
      </c>
      <c r="G69" t="str">
        <f t="shared" si="1"/>
        <v>DB 20Grafit refleks</v>
      </c>
    </row>
    <row r="70" spans="1:7" x14ac:dyDescent="0.35">
      <c r="A70">
        <v>20</v>
      </c>
      <c r="B70" t="s">
        <v>91</v>
      </c>
      <c r="C70">
        <v>5500</v>
      </c>
      <c r="D70" t="s">
        <v>74</v>
      </c>
      <c r="E70" t="s">
        <v>75</v>
      </c>
      <c r="F70" t="s">
        <v>43</v>
      </c>
      <c r="G70" t="str">
        <f t="shared" si="1"/>
        <v>DB 20Lustro weneckie</v>
      </c>
    </row>
    <row r="71" spans="1:7" x14ac:dyDescent="0.35">
      <c r="A71">
        <v>20</v>
      </c>
      <c r="B71" t="s">
        <v>91</v>
      </c>
      <c r="C71">
        <v>5700</v>
      </c>
      <c r="D71" t="s">
        <v>74</v>
      </c>
      <c r="E71" t="s">
        <v>75</v>
      </c>
      <c r="F71" t="s">
        <v>77</v>
      </c>
      <c r="G71" t="str">
        <f t="shared" si="1"/>
        <v>DB 20Mleczne</v>
      </c>
    </row>
    <row r="72" spans="1:7" x14ac:dyDescent="0.35">
      <c r="A72">
        <v>21</v>
      </c>
      <c r="B72" t="s">
        <v>92</v>
      </c>
      <c r="C72">
        <v>5600</v>
      </c>
      <c r="D72" t="s">
        <v>74</v>
      </c>
      <c r="E72" t="s">
        <v>75</v>
      </c>
      <c r="F72" t="s">
        <v>827</v>
      </c>
      <c r="G72" t="str">
        <f t="shared" si="1"/>
        <v>DB 21Przezierne</v>
      </c>
    </row>
    <row r="73" spans="1:7" x14ac:dyDescent="0.35">
      <c r="A73">
        <v>21</v>
      </c>
      <c r="B73" t="s">
        <v>92</v>
      </c>
      <c r="C73">
        <v>5600</v>
      </c>
      <c r="D73" t="s">
        <v>74</v>
      </c>
      <c r="E73" t="s">
        <v>75</v>
      </c>
      <c r="F73" t="s">
        <v>76</v>
      </c>
      <c r="G73" t="str">
        <f t="shared" si="1"/>
        <v>DB 21Brąz refleks</v>
      </c>
    </row>
    <row r="74" spans="1:7" x14ac:dyDescent="0.35">
      <c r="A74">
        <v>21</v>
      </c>
      <c r="B74" t="s">
        <v>92</v>
      </c>
      <c r="C74">
        <v>5700</v>
      </c>
      <c r="D74" t="s">
        <v>74</v>
      </c>
      <c r="E74" t="s">
        <v>75</v>
      </c>
      <c r="F74" t="s">
        <v>8</v>
      </c>
      <c r="G74" t="str">
        <f t="shared" si="1"/>
        <v>DB 21Grafit refleks</v>
      </c>
    </row>
    <row r="75" spans="1:7" x14ac:dyDescent="0.35">
      <c r="A75">
        <v>21</v>
      </c>
      <c r="B75" t="s">
        <v>92</v>
      </c>
      <c r="C75">
        <v>5700</v>
      </c>
      <c r="D75" t="s">
        <v>74</v>
      </c>
      <c r="E75" t="s">
        <v>75</v>
      </c>
      <c r="F75" t="s">
        <v>43</v>
      </c>
      <c r="G75" t="str">
        <f t="shared" si="1"/>
        <v>DB 21Lustro weneckie</v>
      </c>
    </row>
    <row r="76" spans="1:7" x14ac:dyDescent="0.35">
      <c r="A76">
        <v>21</v>
      </c>
      <c r="B76" t="s">
        <v>92</v>
      </c>
      <c r="C76">
        <v>5900</v>
      </c>
      <c r="D76" t="s">
        <v>74</v>
      </c>
      <c r="E76" t="s">
        <v>75</v>
      </c>
      <c r="F76" t="s">
        <v>77</v>
      </c>
      <c r="G76" t="str">
        <f t="shared" si="1"/>
        <v>DB 21Mleczne</v>
      </c>
    </row>
    <row r="77" spans="1:7" x14ac:dyDescent="0.35">
      <c r="A77">
        <v>21</v>
      </c>
      <c r="B77" t="s">
        <v>92</v>
      </c>
      <c r="C77">
        <v>5900</v>
      </c>
      <c r="D77" t="s">
        <v>74</v>
      </c>
      <c r="E77" t="s">
        <v>75</v>
      </c>
      <c r="F77" t="s">
        <v>78</v>
      </c>
      <c r="G77" t="str">
        <f t="shared" si="1"/>
        <v>DB 21Piaskowane refleks</v>
      </c>
    </row>
    <row r="78" spans="1:7" x14ac:dyDescent="0.35">
      <c r="A78">
        <v>21</v>
      </c>
      <c r="B78" t="s">
        <v>92</v>
      </c>
      <c r="C78">
        <v>5900</v>
      </c>
      <c r="D78" t="s">
        <v>74</v>
      </c>
      <c r="E78" t="s">
        <v>75</v>
      </c>
      <c r="F78" t="s">
        <v>88</v>
      </c>
      <c r="G78" t="str">
        <f t="shared" si="1"/>
        <v>DB 21Brąz refleks wypukły</v>
      </c>
    </row>
    <row r="79" spans="1:7" x14ac:dyDescent="0.35">
      <c r="A79">
        <v>28</v>
      </c>
      <c r="B79" t="s">
        <v>93</v>
      </c>
      <c r="C79">
        <v>5400</v>
      </c>
      <c r="D79" t="s">
        <v>74</v>
      </c>
      <c r="E79" t="s">
        <v>75</v>
      </c>
      <c r="F79" t="s">
        <v>827</v>
      </c>
      <c r="G79" t="str">
        <f t="shared" si="1"/>
        <v>DB 28Przezierne</v>
      </c>
    </row>
    <row r="80" spans="1:7" x14ac:dyDescent="0.35">
      <c r="A80">
        <v>28</v>
      </c>
      <c r="B80" t="s">
        <v>93</v>
      </c>
      <c r="C80">
        <v>5400</v>
      </c>
      <c r="D80" t="s">
        <v>74</v>
      </c>
      <c r="E80" t="s">
        <v>75</v>
      </c>
      <c r="F80" t="s">
        <v>76</v>
      </c>
      <c r="G80" t="str">
        <f t="shared" si="1"/>
        <v>DB 28Brąz refleks</v>
      </c>
    </row>
    <row r="81" spans="1:7" x14ac:dyDescent="0.35">
      <c r="A81">
        <v>28</v>
      </c>
      <c r="B81" t="s">
        <v>93</v>
      </c>
      <c r="C81">
        <v>5500</v>
      </c>
      <c r="D81" t="s">
        <v>74</v>
      </c>
      <c r="E81" t="s">
        <v>75</v>
      </c>
      <c r="F81" t="s">
        <v>8</v>
      </c>
      <c r="G81" t="str">
        <f t="shared" si="1"/>
        <v>DB 28Grafit refleks</v>
      </c>
    </row>
    <row r="82" spans="1:7" x14ac:dyDescent="0.35">
      <c r="A82">
        <v>28</v>
      </c>
      <c r="B82" t="s">
        <v>93</v>
      </c>
      <c r="C82">
        <v>5500</v>
      </c>
      <c r="D82" t="s">
        <v>74</v>
      </c>
      <c r="E82" t="s">
        <v>75</v>
      </c>
      <c r="F82" t="s">
        <v>43</v>
      </c>
      <c r="G82" t="str">
        <f t="shared" si="1"/>
        <v>DB 28Lustro weneckie</v>
      </c>
    </row>
    <row r="83" spans="1:7" x14ac:dyDescent="0.35">
      <c r="A83">
        <v>28</v>
      </c>
      <c r="B83" t="s">
        <v>93</v>
      </c>
      <c r="C83">
        <v>5700</v>
      </c>
      <c r="D83" t="s">
        <v>74</v>
      </c>
      <c r="E83" t="s">
        <v>75</v>
      </c>
      <c r="F83" t="s">
        <v>77</v>
      </c>
      <c r="G83" t="str">
        <f t="shared" si="1"/>
        <v>DB 28Mleczne</v>
      </c>
    </row>
    <row r="84" spans="1:7" x14ac:dyDescent="0.35">
      <c r="A84">
        <v>31</v>
      </c>
      <c r="B84" t="s">
        <v>94</v>
      </c>
      <c r="C84">
        <v>5400</v>
      </c>
      <c r="D84" t="s">
        <v>74</v>
      </c>
      <c r="E84" t="s">
        <v>75</v>
      </c>
      <c r="F84" t="s">
        <v>827</v>
      </c>
      <c r="G84" t="str">
        <f t="shared" si="1"/>
        <v>DB 31Przezierne</v>
      </c>
    </row>
    <row r="85" spans="1:7" x14ac:dyDescent="0.35">
      <c r="A85">
        <v>31</v>
      </c>
      <c r="B85" t="s">
        <v>94</v>
      </c>
      <c r="C85">
        <v>5400</v>
      </c>
      <c r="D85" t="s">
        <v>74</v>
      </c>
      <c r="E85" t="s">
        <v>75</v>
      </c>
      <c r="F85" t="s">
        <v>76</v>
      </c>
      <c r="G85" t="str">
        <f t="shared" si="1"/>
        <v>DB 31Brąz refleks</v>
      </c>
    </row>
    <row r="86" spans="1:7" x14ac:dyDescent="0.35">
      <c r="A86">
        <v>31</v>
      </c>
      <c r="B86" t="s">
        <v>94</v>
      </c>
      <c r="C86">
        <v>5500</v>
      </c>
      <c r="D86" t="s">
        <v>74</v>
      </c>
      <c r="E86" t="s">
        <v>75</v>
      </c>
      <c r="F86" t="s">
        <v>8</v>
      </c>
      <c r="G86" t="str">
        <f t="shared" si="1"/>
        <v>DB 31Grafit refleks</v>
      </c>
    </row>
    <row r="87" spans="1:7" x14ac:dyDescent="0.35">
      <c r="A87">
        <v>31</v>
      </c>
      <c r="B87" t="s">
        <v>94</v>
      </c>
      <c r="C87">
        <v>5500</v>
      </c>
      <c r="D87" t="s">
        <v>74</v>
      </c>
      <c r="E87" t="s">
        <v>75</v>
      </c>
      <c r="F87" t="s">
        <v>43</v>
      </c>
      <c r="G87" t="str">
        <f t="shared" si="1"/>
        <v>DB 31Lustro weneckie</v>
      </c>
    </row>
    <row r="88" spans="1:7" x14ac:dyDescent="0.35">
      <c r="A88">
        <v>31</v>
      </c>
      <c r="B88" t="s">
        <v>94</v>
      </c>
      <c r="C88">
        <v>5700</v>
      </c>
      <c r="D88" t="s">
        <v>74</v>
      </c>
      <c r="E88" t="s">
        <v>75</v>
      </c>
      <c r="F88" t="s">
        <v>77</v>
      </c>
      <c r="G88" t="str">
        <f t="shared" si="1"/>
        <v>DB 31Mleczne</v>
      </c>
    </row>
    <row r="89" spans="1:7" x14ac:dyDescent="0.35">
      <c r="A89">
        <v>31</v>
      </c>
      <c r="B89" t="s">
        <v>95</v>
      </c>
      <c r="C89">
        <v>5400</v>
      </c>
      <c r="D89" t="s">
        <v>74</v>
      </c>
      <c r="E89" t="s">
        <v>75</v>
      </c>
      <c r="F89" t="s">
        <v>827</v>
      </c>
      <c r="G89" t="str">
        <f t="shared" si="1"/>
        <v>DB 31aPrzezierne</v>
      </c>
    </row>
    <row r="90" spans="1:7" x14ac:dyDescent="0.35">
      <c r="A90">
        <v>31</v>
      </c>
      <c r="B90" t="s">
        <v>95</v>
      </c>
      <c r="C90">
        <v>5400</v>
      </c>
      <c r="D90" t="s">
        <v>74</v>
      </c>
      <c r="E90" t="s">
        <v>75</v>
      </c>
      <c r="F90" t="s">
        <v>76</v>
      </c>
      <c r="G90" t="str">
        <f t="shared" si="1"/>
        <v>DB 31aBrąz refleks</v>
      </c>
    </row>
    <row r="91" spans="1:7" x14ac:dyDescent="0.35">
      <c r="A91">
        <v>31</v>
      </c>
      <c r="B91" t="s">
        <v>95</v>
      </c>
      <c r="C91">
        <v>5500</v>
      </c>
      <c r="D91" t="s">
        <v>74</v>
      </c>
      <c r="E91" t="s">
        <v>75</v>
      </c>
      <c r="F91" t="s">
        <v>8</v>
      </c>
      <c r="G91" t="str">
        <f t="shared" si="1"/>
        <v>DB 31aGrafit refleks</v>
      </c>
    </row>
    <row r="92" spans="1:7" x14ac:dyDescent="0.35">
      <c r="A92">
        <v>31</v>
      </c>
      <c r="B92" t="s">
        <v>95</v>
      </c>
      <c r="C92">
        <v>5500</v>
      </c>
      <c r="D92" t="s">
        <v>74</v>
      </c>
      <c r="E92" t="s">
        <v>75</v>
      </c>
      <c r="F92" t="s">
        <v>43</v>
      </c>
      <c r="G92" t="str">
        <f t="shared" si="1"/>
        <v>DB 31aLustro weneckie</v>
      </c>
    </row>
    <row r="93" spans="1:7" x14ac:dyDescent="0.35">
      <c r="A93">
        <v>31</v>
      </c>
      <c r="B93" t="s">
        <v>95</v>
      </c>
      <c r="C93">
        <v>5700</v>
      </c>
      <c r="D93" t="s">
        <v>74</v>
      </c>
      <c r="E93" t="s">
        <v>75</v>
      </c>
      <c r="F93" t="s">
        <v>77</v>
      </c>
      <c r="G93" t="str">
        <f t="shared" si="1"/>
        <v>DB 31aMleczne</v>
      </c>
    </row>
    <row r="94" spans="1:7" x14ac:dyDescent="0.35">
      <c r="A94">
        <v>32</v>
      </c>
      <c r="B94" t="s">
        <v>96</v>
      </c>
      <c r="C94">
        <v>5000</v>
      </c>
      <c r="D94" t="s">
        <v>74</v>
      </c>
      <c r="E94" t="s">
        <v>75</v>
      </c>
      <c r="F94" t="s">
        <v>97</v>
      </c>
      <c r="G94" t="str">
        <f t="shared" si="1"/>
        <v>DB 32Brak (pełne)</v>
      </c>
    </row>
    <row r="95" spans="1:7" x14ac:dyDescent="0.35">
      <c r="A95">
        <v>33</v>
      </c>
      <c r="B95" t="s">
        <v>98</v>
      </c>
      <c r="C95">
        <v>5400</v>
      </c>
      <c r="D95" t="s">
        <v>74</v>
      </c>
      <c r="E95" t="s">
        <v>75</v>
      </c>
      <c r="F95" t="s">
        <v>827</v>
      </c>
      <c r="G95" t="str">
        <f t="shared" si="1"/>
        <v>DB 33Przezierne</v>
      </c>
    </row>
    <row r="96" spans="1:7" x14ac:dyDescent="0.35">
      <c r="A96">
        <v>33</v>
      </c>
      <c r="B96" t="s">
        <v>98</v>
      </c>
      <c r="C96">
        <v>5400</v>
      </c>
      <c r="D96" t="s">
        <v>74</v>
      </c>
      <c r="E96" t="s">
        <v>75</v>
      </c>
      <c r="F96" t="s">
        <v>76</v>
      </c>
      <c r="G96" t="str">
        <f t="shared" si="1"/>
        <v>DB 33Brąz refleks</v>
      </c>
    </row>
    <row r="97" spans="1:7" x14ac:dyDescent="0.35">
      <c r="A97">
        <v>33</v>
      </c>
      <c r="B97" t="s">
        <v>98</v>
      </c>
      <c r="C97">
        <v>5500</v>
      </c>
      <c r="D97" t="s">
        <v>74</v>
      </c>
      <c r="E97" t="s">
        <v>75</v>
      </c>
      <c r="F97" t="s">
        <v>8</v>
      </c>
      <c r="G97" t="str">
        <f t="shared" si="1"/>
        <v>DB 33Grafit refleks</v>
      </c>
    </row>
    <row r="98" spans="1:7" x14ac:dyDescent="0.35">
      <c r="A98">
        <v>33</v>
      </c>
      <c r="B98" t="s">
        <v>98</v>
      </c>
      <c r="C98">
        <v>5500</v>
      </c>
      <c r="D98" t="s">
        <v>74</v>
      </c>
      <c r="E98" t="s">
        <v>75</v>
      </c>
      <c r="F98" t="s">
        <v>43</v>
      </c>
      <c r="G98" t="str">
        <f t="shared" si="1"/>
        <v>DB 33Lustro weneckie</v>
      </c>
    </row>
    <row r="99" spans="1:7" x14ac:dyDescent="0.35">
      <c r="A99">
        <v>33</v>
      </c>
      <c r="B99" t="s">
        <v>98</v>
      </c>
      <c r="C99">
        <v>5700</v>
      </c>
      <c r="D99" t="s">
        <v>74</v>
      </c>
      <c r="E99" t="s">
        <v>75</v>
      </c>
      <c r="F99" t="s">
        <v>77</v>
      </c>
      <c r="G99" t="str">
        <f t="shared" si="1"/>
        <v>DB 33Mleczne</v>
      </c>
    </row>
    <row r="100" spans="1:7" x14ac:dyDescent="0.35">
      <c r="A100">
        <v>34</v>
      </c>
      <c r="B100" t="s">
        <v>99</v>
      </c>
      <c r="C100">
        <v>5000</v>
      </c>
      <c r="D100" t="s">
        <v>74</v>
      </c>
      <c r="E100" t="s">
        <v>75</v>
      </c>
      <c r="F100" t="s">
        <v>97</v>
      </c>
      <c r="G100" t="str">
        <f t="shared" si="1"/>
        <v>DB 34Brak (pełne)</v>
      </c>
    </row>
    <row r="101" spans="1:7" x14ac:dyDescent="0.35">
      <c r="A101">
        <v>39</v>
      </c>
      <c r="B101" t="s">
        <v>100</v>
      </c>
      <c r="C101">
        <v>5400</v>
      </c>
      <c r="D101" t="s">
        <v>74</v>
      </c>
      <c r="E101" t="s">
        <v>75</v>
      </c>
      <c r="F101" t="s">
        <v>827</v>
      </c>
      <c r="G101" t="str">
        <f t="shared" si="1"/>
        <v>DB 39Przezierne</v>
      </c>
    </row>
    <row r="102" spans="1:7" x14ac:dyDescent="0.35">
      <c r="A102">
        <v>39</v>
      </c>
      <c r="B102" t="s">
        <v>100</v>
      </c>
      <c r="C102">
        <v>5400</v>
      </c>
      <c r="D102" t="s">
        <v>74</v>
      </c>
      <c r="E102" t="s">
        <v>75</v>
      </c>
      <c r="F102" t="s">
        <v>76</v>
      </c>
      <c r="G102" t="str">
        <f t="shared" si="1"/>
        <v>DB 39Brąz refleks</v>
      </c>
    </row>
    <row r="103" spans="1:7" x14ac:dyDescent="0.35">
      <c r="A103">
        <v>39</v>
      </c>
      <c r="B103" t="s">
        <v>100</v>
      </c>
      <c r="C103">
        <v>5500</v>
      </c>
      <c r="D103" t="s">
        <v>74</v>
      </c>
      <c r="E103" t="s">
        <v>75</v>
      </c>
      <c r="F103" t="s">
        <v>8</v>
      </c>
      <c r="G103" t="str">
        <f t="shared" si="1"/>
        <v>DB 39Grafit refleks</v>
      </c>
    </row>
    <row r="104" spans="1:7" x14ac:dyDescent="0.35">
      <c r="A104">
        <v>39</v>
      </c>
      <c r="B104" t="s">
        <v>100</v>
      </c>
      <c r="C104">
        <v>5500</v>
      </c>
      <c r="D104" t="s">
        <v>74</v>
      </c>
      <c r="E104" t="s">
        <v>75</v>
      </c>
      <c r="F104" t="s">
        <v>43</v>
      </c>
      <c r="G104" t="str">
        <f t="shared" si="1"/>
        <v>DB 39Lustro weneckie</v>
      </c>
    </row>
    <row r="105" spans="1:7" x14ac:dyDescent="0.35">
      <c r="A105">
        <v>39</v>
      </c>
      <c r="B105" t="s">
        <v>100</v>
      </c>
      <c r="C105">
        <v>5700</v>
      </c>
      <c r="D105" t="s">
        <v>74</v>
      </c>
      <c r="E105" t="s">
        <v>75</v>
      </c>
      <c r="F105" t="s">
        <v>77</v>
      </c>
      <c r="G105" t="str">
        <f t="shared" si="1"/>
        <v>DB 39Mleczne</v>
      </c>
    </row>
    <row r="106" spans="1:7" x14ac:dyDescent="0.35">
      <c r="A106">
        <v>39</v>
      </c>
      <c r="B106" t="s">
        <v>100</v>
      </c>
      <c r="C106">
        <v>5700</v>
      </c>
      <c r="D106" t="s">
        <v>74</v>
      </c>
      <c r="E106" t="s">
        <v>75</v>
      </c>
      <c r="F106" t="s">
        <v>78</v>
      </c>
      <c r="G106" t="str">
        <f t="shared" si="1"/>
        <v>DB 39Piaskowane refleks</v>
      </c>
    </row>
    <row r="107" spans="1:7" x14ac:dyDescent="0.35">
      <c r="A107">
        <v>43</v>
      </c>
      <c r="B107" t="s">
        <v>101</v>
      </c>
      <c r="C107">
        <v>5400</v>
      </c>
      <c r="D107" t="s">
        <v>74</v>
      </c>
      <c r="E107" t="s">
        <v>75</v>
      </c>
      <c r="F107" t="s">
        <v>827</v>
      </c>
      <c r="G107" t="str">
        <f t="shared" si="1"/>
        <v>DB 43Przezierne</v>
      </c>
    </row>
    <row r="108" spans="1:7" x14ac:dyDescent="0.35">
      <c r="A108">
        <v>43</v>
      </c>
      <c r="B108" t="s">
        <v>101</v>
      </c>
      <c r="C108">
        <v>5400</v>
      </c>
      <c r="D108" t="s">
        <v>74</v>
      </c>
      <c r="E108" t="s">
        <v>75</v>
      </c>
      <c r="F108" t="s">
        <v>76</v>
      </c>
      <c r="G108" t="str">
        <f t="shared" si="1"/>
        <v>DB 43Brąz refleks</v>
      </c>
    </row>
    <row r="109" spans="1:7" x14ac:dyDescent="0.35">
      <c r="A109">
        <v>43</v>
      </c>
      <c r="B109" t="s">
        <v>101</v>
      </c>
      <c r="C109">
        <v>5500</v>
      </c>
      <c r="D109" t="s">
        <v>74</v>
      </c>
      <c r="E109" t="s">
        <v>75</v>
      </c>
      <c r="F109" t="s">
        <v>8</v>
      </c>
      <c r="G109" t="str">
        <f t="shared" si="1"/>
        <v>DB 43Grafit refleks</v>
      </c>
    </row>
    <row r="110" spans="1:7" x14ac:dyDescent="0.35">
      <c r="A110">
        <v>43</v>
      </c>
      <c r="B110" t="s">
        <v>101</v>
      </c>
      <c r="C110">
        <v>5500</v>
      </c>
      <c r="D110" t="s">
        <v>74</v>
      </c>
      <c r="E110" t="s">
        <v>75</v>
      </c>
      <c r="F110" t="s">
        <v>43</v>
      </c>
      <c r="G110" t="str">
        <f t="shared" si="1"/>
        <v>DB 43Lustro weneckie</v>
      </c>
    </row>
    <row r="111" spans="1:7" x14ac:dyDescent="0.35">
      <c r="A111">
        <v>43</v>
      </c>
      <c r="B111" t="s">
        <v>101</v>
      </c>
      <c r="C111">
        <v>5700</v>
      </c>
      <c r="D111" t="s">
        <v>74</v>
      </c>
      <c r="E111" t="s">
        <v>75</v>
      </c>
      <c r="F111" t="s">
        <v>77</v>
      </c>
      <c r="G111" t="str">
        <f t="shared" si="1"/>
        <v>DB 43Mleczne</v>
      </c>
    </row>
    <row r="112" spans="1:7" x14ac:dyDescent="0.35">
      <c r="A112">
        <v>45</v>
      </c>
      <c r="B112" t="s">
        <v>102</v>
      </c>
      <c r="C112">
        <v>5400</v>
      </c>
      <c r="D112" t="s">
        <v>74</v>
      </c>
      <c r="E112" t="s">
        <v>75</v>
      </c>
      <c r="F112" t="s">
        <v>827</v>
      </c>
      <c r="G112" t="str">
        <f t="shared" si="1"/>
        <v>DB 45Przezierne</v>
      </c>
    </row>
    <row r="113" spans="1:7" x14ac:dyDescent="0.35">
      <c r="A113">
        <v>45</v>
      </c>
      <c r="B113" t="s">
        <v>102</v>
      </c>
      <c r="C113">
        <v>5400</v>
      </c>
      <c r="D113" t="s">
        <v>74</v>
      </c>
      <c r="E113" t="s">
        <v>75</v>
      </c>
      <c r="F113" t="s">
        <v>76</v>
      </c>
      <c r="G113" t="str">
        <f t="shared" si="1"/>
        <v>DB 45Brąz refleks</v>
      </c>
    </row>
    <row r="114" spans="1:7" x14ac:dyDescent="0.35">
      <c r="A114">
        <v>45</v>
      </c>
      <c r="B114" t="s">
        <v>102</v>
      </c>
      <c r="C114">
        <v>5500</v>
      </c>
      <c r="D114" t="s">
        <v>74</v>
      </c>
      <c r="E114" t="s">
        <v>75</v>
      </c>
      <c r="F114" t="s">
        <v>8</v>
      </c>
      <c r="G114" t="str">
        <f t="shared" si="1"/>
        <v>DB 45Grafit refleks</v>
      </c>
    </row>
    <row r="115" spans="1:7" x14ac:dyDescent="0.35">
      <c r="A115">
        <v>45</v>
      </c>
      <c r="B115" t="s">
        <v>102</v>
      </c>
      <c r="C115">
        <v>5500</v>
      </c>
      <c r="D115" t="s">
        <v>74</v>
      </c>
      <c r="E115" t="s">
        <v>75</v>
      </c>
      <c r="F115" t="s">
        <v>43</v>
      </c>
      <c r="G115" t="str">
        <f t="shared" si="1"/>
        <v>DB 45Lustro weneckie</v>
      </c>
    </row>
    <row r="116" spans="1:7" x14ac:dyDescent="0.35">
      <c r="A116">
        <v>45</v>
      </c>
      <c r="B116" t="s">
        <v>102</v>
      </c>
      <c r="C116">
        <v>5700</v>
      </c>
      <c r="D116" t="s">
        <v>74</v>
      </c>
      <c r="E116" t="s">
        <v>75</v>
      </c>
      <c r="F116" t="s">
        <v>77</v>
      </c>
      <c r="G116" t="str">
        <f t="shared" si="1"/>
        <v>DB 45Mleczne</v>
      </c>
    </row>
    <row r="117" spans="1:7" x14ac:dyDescent="0.35">
      <c r="A117">
        <v>45</v>
      </c>
      <c r="B117" t="s">
        <v>102</v>
      </c>
      <c r="C117">
        <v>5700</v>
      </c>
      <c r="D117" t="s">
        <v>74</v>
      </c>
      <c r="E117" t="s">
        <v>75</v>
      </c>
      <c r="F117" t="s">
        <v>78</v>
      </c>
      <c r="G117" t="str">
        <f t="shared" si="1"/>
        <v>DB 45Piaskowane refleks</v>
      </c>
    </row>
    <row r="118" spans="1:7" x14ac:dyDescent="0.35">
      <c r="A118">
        <v>47</v>
      </c>
      <c r="B118" t="s">
        <v>103</v>
      </c>
      <c r="C118">
        <v>5400</v>
      </c>
      <c r="D118" t="s">
        <v>74</v>
      </c>
      <c r="E118" t="s">
        <v>75</v>
      </c>
      <c r="F118" t="s">
        <v>827</v>
      </c>
      <c r="G118" t="str">
        <f t="shared" si="1"/>
        <v>DB 47Przezierne</v>
      </c>
    </row>
    <row r="119" spans="1:7" x14ac:dyDescent="0.35">
      <c r="A119">
        <v>47</v>
      </c>
      <c r="B119" t="s">
        <v>103</v>
      </c>
      <c r="C119">
        <v>5400</v>
      </c>
      <c r="D119" t="s">
        <v>74</v>
      </c>
      <c r="E119" t="s">
        <v>75</v>
      </c>
      <c r="F119" t="s">
        <v>76</v>
      </c>
      <c r="G119" t="str">
        <f t="shared" si="1"/>
        <v>DB 47Brąz refleks</v>
      </c>
    </row>
    <row r="120" spans="1:7" x14ac:dyDescent="0.35">
      <c r="A120">
        <v>47</v>
      </c>
      <c r="B120" t="s">
        <v>103</v>
      </c>
      <c r="C120">
        <v>5500</v>
      </c>
      <c r="D120" t="s">
        <v>74</v>
      </c>
      <c r="E120" t="s">
        <v>75</v>
      </c>
      <c r="F120" t="s">
        <v>8</v>
      </c>
      <c r="G120" t="str">
        <f t="shared" si="1"/>
        <v>DB 47Grafit refleks</v>
      </c>
    </row>
    <row r="121" spans="1:7" x14ac:dyDescent="0.35">
      <c r="A121">
        <v>47</v>
      </c>
      <c r="B121" t="s">
        <v>103</v>
      </c>
      <c r="C121">
        <v>5500</v>
      </c>
      <c r="D121" t="s">
        <v>74</v>
      </c>
      <c r="E121" t="s">
        <v>75</v>
      </c>
      <c r="F121" t="s">
        <v>43</v>
      </c>
      <c r="G121" t="str">
        <f t="shared" si="1"/>
        <v>DB 47Lustro weneckie</v>
      </c>
    </row>
    <row r="122" spans="1:7" x14ac:dyDescent="0.35">
      <c r="A122">
        <v>47</v>
      </c>
      <c r="B122" t="s">
        <v>103</v>
      </c>
      <c r="C122">
        <v>5700</v>
      </c>
      <c r="D122" t="s">
        <v>74</v>
      </c>
      <c r="E122" t="s">
        <v>75</v>
      </c>
      <c r="F122" t="s">
        <v>77</v>
      </c>
      <c r="G122" t="str">
        <f t="shared" si="1"/>
        <v>DB 47Mleczne</v>
      </c>
    </row>
    <row r="123" spans="1:7" x14ac:dyDescent="0.35">
      <c r="A123">
        <v>51</v>
      </c>
      <c r="B123" t="s">
        <v>104</v>
      </c>
      <c r="C123">
        <v>5000</v>
      </c>
      <c r="D123" t="s">
        <v>74</v>
      </c>
      <c r="E123" t="s">
        <v>75</v>
      </c>
      <c r="F123" t="s">
        <v>827</v>
      </c>
      <c r="G123" t="str">
        <f t="shared" si="1"/>
        <v>DB 51Przezierne</v>
      </c>
    </row>
    <row r="124" spans="1:7" x14ac:dyDescent="0.35">
      <c r="A124">
        <v>51</v>
      </c>
      <c r="B124" t="s">
        <v>104</v>
      </c>
      <c r="C124">
        <v>5000</v>
      </c>
      <c r="D124" t="s">
        <v>74</v>
      </c>
      <c r="E124" t="s">
        <v>75</v>
      </c>
      <c r="F124" t="s">
        <v>76</v>
      </c>
      <c r="G124" t="str">
        <f t="shared" si="1"/>
        <v>DB 51Brąz refleks</v>
      </c>
    </row>
    <row r="125" spans="1:7" x14ac:dyDescent="0.35">
      <c r="A125">
        <v>51</v>
      </c>
      <c r="B125" t="s">
        <v>104</v>
      </c>
      <c r="C125">
        <v>5100</v>
      </c>
      <c r="D125" t="s">
        <v>74</v>
      </c>
      <c r="E125" t="s">
        <v>75</v>
      </c>
      <c r="F125" t="s">
        <v>8</v>
      </c>
      <c r="G125" t="str">
        <f t="shared" si="1"/>
        <v>DB 51Grafit refleks</v>
      </c>
    </row>
    <row r="126" spans="1:7" x14ac:dyDescent="0.35">
      <c r="A126">
        <v>51</v>
      </c>
      <c r="B126" t="s">
        <v>104</v>
      </c>
      <c r="C126">
        <v>5100</v>
      </c>
      <c r="D126" t="s">
        <v>74</v>
      </c>
      <c r="E126" t="s">
        <v>75</v>
      </c>
      <c r="F126" t="s">
        <v>43</v>
      </c>
      <c r="G126" t="str">
        <f t="shared" si="1"/>
        <v>DB 51Lustro weneckie</v>
      </c>
    </row>
    <row r="127" spans="1:7" x14ac:dyDescent="0.35">
      <c r="A127">
        <v>51</v>
      </c>
      <c r="B127" t="s">
        <v>104</v>
      </c>
      <c r="C127">
        <v>5300</v>
      </c>
      <c r="D127" t="s">
        <v>74</v>
      </c>
      <c r="E127" t="s">
        <v>75</v>
      </c>
      <c r="F127" t="s">
        <v>77</v>
      </c>
      <c r="G127" t="str">
        <f t="shared" si="1"/>
        <v>DB 51Mleczne</v>
      </c>
    </row>
    <row r="128" spans="1:7" x14ac:dyDescent="0.35">
      <c r="A128">
        <v>52</v>
      </c>
      <c r="B128" t="s">
        <v>105</v>
      </c>
      <c r="C128">
        <v>5000</v>
      </c>
      <c r="D128" t="s">
        <v>74</v>
      </c>
      <c r="E128" t="s">
        <v>75</v>
      </c>
      <c r="F128" t="s">
        <v>76</v>
      </c>
      <c r="G128" t="str">
        <f t="shared" si="1"/>
        <v>DB 52aBrąz refleks</v>
      </c>
    </row>
    <row r="129" spans="1:7" x14ac:dyDescent="0.35">
      <c r="A129">
        <v>52</v>
      </c>
      <c r="B129" t="s">
        <v>105</v>
      </c>
      <c r="C129">
        <v>5100</v>
      </c>
      <c r="D129" t="s">
        <v>74</v>
      </c>
      <c r="E129" t="s">
        <v>75</v>
      </c>
      <c r="F129" t="s">
        <v>8</v>
      </c>
      <c r="G129" t="str">
        <f t="shared" ref="G129:G184" si="2">B129&amp;F129</f>
        <v>DB 52aGrafit refleks</v>
      </c>
    </row>
    <row r="130" spans="1:7" x14ac:dyDescent="0.35">
      <c r="A130">
        <v>52</v>
      </c>
      <c r="B130" t="s">
        <v>105</v>
      </c>
      <c r="C130">
        <v>5100</v>
      </c>
      <c r="D130" t="s">
        <v>74</v>
      </c>
      <c r="E130" t="s">
        <v>75</v>
      </c>
      <c r="F130" t="s">
        <v>43</v>
      </c>
      <c r="G130" t="str">
        <f t="shared" si="2"/>
        <v>DB 52aLustro weneckie</v>
      </c>
    </row>
    <row r="131" spans="1:7" x14ac:dyDescent="0.35">
      <c r="A131">
        <v>52</v>
      </c>
      <c r="B131" t="s">
        <v>105</v>
      </c>
      <c r="C131">
        <v>5300</v>
      </c>
      <c r="D131" t="s">
        <v>74</v>
      </c>
      <c r="E131" t="s">
        <v>75</v>
      </c>
      <c r="F131" t="s">
        <v>77</v>
      </c>
      <c r="G131" t="str">
        <f t="shared" si="2"/>
        <v>DB 52aMleczne</v>
      </c>
    </row>
    <row r="132" spans="1:7" x14ac:dyDescent="0.35">
      <c r="A132">
        <v>55</v>
      </c>
      <c r="B132" t="s">
        <v>106</v>
      </c>
      <c r="C132">
        <v>5400</v>
      </c>
      <c r="D132" t="s">
        <v>74</v>
      </c>
      <c r="E132" t="s">
        <v>107</v>
      </c>
      <c r="F132" t="s">
        <v>827</v>
      </c>
      <c r="G132" t="str">
        <f t="shared" si="2"/>
        <v>DB 55Przezierne</v>
      </c>
    </row>
    <row r="133" spans="1:7" x14ac:dyDescent="0.35">
      <c r="A133">
        <v>55</v>
      </c>
      <c r="B133" t="s">
        <v>106</v>
      </c>
      <c r="C133">
        <v>5400</v>
      </c>
      <c r="D133" t="s">
        <v>74</v>
      </c>
      <c r="E133" t="s">
        <v>107</v>
      </c>
      <c r="F133" t="s">
        <v>76</v>
      </c>
      <c r="G133" t="str">
        <f t="shared" si="2"/>
        <v>DB 55Brąz refleks</v>
      </c>
    </row>
    <row r="134" spans="1:7" x14ac:dyDescent="0.35">
      <c r="A134">
        <v>55</v>
      </c>
      <c r="B134" t="s">
        <v>106</v>
      </c>
      <c r="C134">
        <v>5500</v>
      </c>
      <c r="D134" t="s">
        <v>74</v>
      </c>
      <c r="E134" t="s">
        <v>107</v>
      </c>
      <c r="F134" t="s">
        <v>8</v>
      </c>
      <c r="G134" t="str">
        <f t="shared" si="2"/>
        <v>DB 55Grafit refleks</v>
      </c>
    </row>
    <row r="135" spans="1:7" x14ac:dyDescent="0.35">
      <c r="A135">
        <v>55</v>
      </c>
      <c r="B135" t="s">
        <v>106</v>
      </c>
      <c r="C135">
        <v>5500</v>
      </c>
      <c r="D135" t="s">
        <v>74</v>
      </c>
      <c r="E135" t="s">
        <v>107</v>
      </c>
      <c r="F135" t="s">
        <v>43</v>
      </c>
      <c r="G135" t="str">
        <f t="shared" si="2"/>
        <v>DB 55Lustro weneckie</v>
      </c>
    </row>
    <row r="136" spans="1:7" x14ac:dyDescent="0.35">
      <c r="A136">
        <v>55</v>
      </c>
      <c r="B136" t="s">
        <v>106</v>
      </c>
      <c r="C136">
        <v>5700</v>
      </c>
      <c r="D136" t="s">
        <v>74</v>
      </c>
      <c r="E136" t="s">
        <v>107</v>
      </c>
      <c r="F136" t="s">
        <v>77</v>
      </c>
      <c r="G136" t="str">
        <f t="shared" si="2"/>
        <v>DB 55Mleczne</v>
      </c>
    </row>
    <row r="137" spans="1:7" x14ac:dyDescent="0.35">
      <c r="A137">
        <v>56</v>
      </c>
      <c r="B137" t="s">
        <v>108</v>
      </c>
      <c r="C137">
        <v>5000</v>
      </c>
      <c r="D137" t="s">
        <v>74</v>
      </c>
      <c r="E137" t="s">
        <v>107</v>
      </c>
      <c r="F137" t="s">
        <v>97</v>
      </c>
      <c r="G137" t="str">
        <f t="shared" si="2"/>
        <v>DB 56Brak (pełne)</v>
      </c>
    </row>
    <row r="138" spans="1:7" x14ac:dyDescent="0.35">
      <c r="A138">
        <v>56</v>
      </c>
      <c r="B138" t="s">
        <v>109</v>
      </c>
      <c r="C138">
        <v>5000</v>
      </c>
      <c r="D138" t="s">
        <v>74</v>
      </c>
      <c r="E138" t="s">
        <v>107</v>
      </c>
      <c r="F138" t="s">
        <v>97</v>
      </c>
      <c r="G138" t="str">
        <f t="shared" si="2"/>
        <v>DB 56aBrak (pełne)</v>
      </c>
    </row>
    <row r="139" spans="1:7" x14ac:dyDescent="0.35">
      <c r="A139">
        <v>57</v>
      </c>
      <c r="B139" t="s">
        <v>110</v>
      </c>
      <c r="C139">
        <v>5400</v>
      </c>
      <c r="D139" t="s">
        <v>74</v>
      </c>
      <c r="E139" t="s">
        <v>107</v>
      </c>
      <c r="F139" t="s">
        <v>827</v>
      </c>
      <c r="G139" t="str">
        <f t="shared" si="2"/>
        <v>DB 57Przezierne</v>
      </c>
    </row>
    <row r="140" spans="1:7" x14ac:dyDescent="0.35">
      <c r="A140">
        <v>57</v>
      </c>
      <c r="B140" t="s">
        <v>110</v>
      </c>
      <c r="C140">
        <v>5400</v>
      </c>
      <c r="D140" t="s">
        <v>74</v>
      </c>
      <c r="E140" t="s">
        <v>107</v>
      </c>
      <c r="F140" t="s">
        <v>76</v>
      </c>
      <c r="G140" t="str">
        <f t="shared" si="2"/>
        <v>DB 57Brąz refleks</v>
      </c>
    </row>
    <row r="141" spans="1:7" x14ac:dyDescent="0.35">
      <c r="A141">
        <v>57</v>
      </c>
      <c r="B141" t="s">
        <v>110</v>
      </c>
      <c r="C141">
        <v>5500</v>
      </c>
      <c r="D141" t="s">
        <v>74</v>
      </c>
      <c r="E141" t="s">
        <v>107</v>
      </c>
      <c r="F141" t="s">
        <v>8</v>
      </c>
      <c r="G141" t="str">
        <f t="shared" si="2"/>
        <v>DB 57Grafit refleks</v>
      </c>
    </row>
    <row r="142" spans="1:7" x14ac:dyDescent="0.35">
      <c r="A142">
        <v>57</v>
      </c>
      <c r="B142" t="s">
        <v>110</v>
      </c>
      <c r="C142">
        <v>5500</v>
      </c>
      <c r="D142" t="s">
        <v>74</v>
      </c>
      <c r="E142" t="s">
        <v>107</v>
      </c>
      <c r="F142" t="s">
        <v>43</v>
      </c>
      <c r="G142" t="str">
        <f t="shared" si="2"/>
        <v>DB 57Lustro weneckie</v>
      </c>
    </row>
    <row r="143" spans="1:7" x14ac:dyDescent="0.35">
      <c r="A143">
        <v>57</v>
      </c>
      <c r="B143" t="s">
        <v>110</v>
      </c>
      <c r="C143">
        <v>5700</v>
      </c>
      <c r="D143" t="s">
        <v>74</v>
      </c>
      <c r="E143" t="s">
        <v>107</v>
      </c>
      <c r="F143" t="s">
        <v>77</v>
      </c>
      <c r="G143" t="str">
        <f t="shared" si="2"/>
        <v>DB 57Mleczne</v>
      </c>
    </row>
    <row r="144" spans="1:7" x14ac:dyDescent="0.35">
      <c r="A144">
        <v>57</v>
      </c>
      <c r="B144" t="s">
        <v>110</v>
      </c>
      <c r="C144">
        <v>5700</v>
      </c>
      <c r="D144" t="s">
        <v>74</v>
      </c>
      <c r="E144" t="s">
        <v>107</v>
      </c>
      <c r="F144" t="s">
        <v>78</v>
      </c>
      <c r="G144" t="str">
        <f t="shared" si="2"/>
        <v>DB 57Piaskowane refleks</v>
      </c>
    </row>
    <row r="145" spans="1:7" x14ac:dyDescent="0.35">
      <c r="A145">
        <v>57</v>
      </c>
      <c r="B145" t="s">
        <v>110</v>
      </c>
      <c r="C145">
        <v>5700</v>
      </c>
      <c r="D145" t="s">
        <v>74</v>
      </c>
      <c r="E145" t="s">
        <v>107</v>
      </c>
      <c r="F145" t="s">
        <v>88</v>
      </c>
      <c r="G145" t="str">
        <f t="shared" si="2"/>
        <v>DB 57Brąz refleks wypukły</v>
      </c>
    </row>
    <row r="146" spans="1:7" x14ac:dyDescent="0.35">
      <c r="A146">
        <v>57</v>
      </c>
      <c r="B146" t="s">
        <v>110</v>
      </c>
      <c r="C146">
        <v>6300</v>
      </c>
      <c r="D146" t="s">
        <v>74</v>
      </c>
      <c r="E146" t="s">
        <v>107</v>
      </c>
      <c r="F146" t="s">
        <v>111</v>
      </c>
      <c r="G146" t="str">
        <f t="shared" si="2"/>
        <v>DB 57Witraz</v>
      </c>
    </row>
    <row r="147" spans="1:7" x14ac:dyDescent="0.35">
      <c r="A147">
        <v>59</v>
      </c>
      <c r="B147" t="s">
        <v>112</v>
      </c>
      <c r="C147">
        <v>5400</v>
      </c>
      <c r="D147" t="s">
        <v>74</v>
      </c>
      <c r="E147" t="s">
        <v>107</v>
      </c>
      <c r="F147" t="s">
        <v>827</v>
      </c>
      <c r="G147" t="str">
        <f t="shared" si="2"/>
        <v>DB 59Przezierne</v>
      </c>
    </row>
    <row r="148" spans="1:7" x14ac:dyDescent="0.35">
      <c r="A148">
        <v>59</v>
      </c>
      <c r="B148" t="s">
        <v>112</v>
      </c>
      <c r="C148">
        <v>5400</v>
      </c>
      <c r="D148" t="s">
        <v>74</v>
      </c>
      <c r="E148" t="s">
        <v>107</v>
      </c>
      <c r="F148" t="s">
        <v>76</v>
      </c>
      <c r="G148" t="str">
        <f t="shared" si="2"/>
        <v>DB 59Brąz refleks</v>
      </c>
    </row>
    <row r="149" spans="1:7" x14ac:dyDescent="0.35">
      <c r="A149">
        <v>59</v>
      </c>
      <c r="B149" t="s">
        <v>112</v>
      </c>
      <c r="C149">
        <v>5500</v>
      </c>
      <c r="D149" t="s">
        <v>74</v>
      </c>
      <c r="E149" t="s">
        <v>107</v>
      </c>
      <c r="F149" t="s">
        <v>8</v>
      </c>
      <c r="G149" t="str">
        <f t="shared" si="2"/>
        <v>DB 59Grafit refleks</v>
      </c>
    </row>
    <row r="150" spans="1:7" x14ac:dyDescent="0.35">
      <c r="A150">
        <v>59</v>
      </c>
      <c r="B150" t="s">
        <v>112</v>
      </c>
      <c r="C150">
        <v>5500</v>
      </c>
      <c r="D150" t="s">
        <v>74</v>
      </c>
      <c r="E150" t="s">
        <v>107</v>
      </c>
      <c r="F150" t="s">
        <v>43</v>
      </c>
      <c r="G150" t="str">
        <f t="shared" si="2"/>
        <v>DB 59Lustro weneckie</v>
      </c>
    </row>
    <row r="151" spans="1:7" x14ac:dyDescent="0.35">
      <c r="A151">
        <v>59</v>
      </c>
      <c r="B151" t="s">
        <v>112</v>
      </c>
      <c r="C151">
        <v>5700</v>
      </c>
      <c r="D151" t="s">
        <v>74</v>
      </c>
      <c r="E151" t="s">
        <v>107</v>
      </c>
      <c r="F151" t="s">
        <v>77</v>
      </c>
      <c r="G151" t="str">
        <f t="shared" si="2"/>
        <v>DB 59Mleczne</v>
      </c>
    </row>
    <row r="152" spans="1:7" x14ac:dyDescent="0.35">
      <c r="A152">
        <v>59</v>
      </c>
      <c r="B152" t="s">
        <v>113</v>
      </c>
      <c r="C152">
        <v>5400</v>
      </c>
      <c r="D152" t="s">
        <v>74</v>
      </c>
      <c r="E152" t="s">
        <v>107</v>
      </c>
      <c r="F152" t="s">
        <v>827</v>
      </c>
      <c r="G152" t="str">
        <f t="shared" si="2"/>
        <v>DB 59aPrzezierne</v>
      </c>
    </row>
    <row r="153" spans="1:7" x14ac:dyDescent="0.35">
      <c r="A153">
        <v>59</v>
      </c>
      <c r="B153" t="s">
        <v>113</v>
      </c>
      <c r="C153">
        <v>5400</v>
      </c>
      <c r="D153" t="s">
        <v>74</v>
      </c>
      <c r="E153" t="s">
        <v>107</v>
      </c>
      <c r="F153" t="s">
        <v>76</v>
      </c>
      <c r="G153" t="str">
        <f t="shared" si="2"/>
        <v>DB 59aBrąz refleks</v>
      </c>
    </row>
    <row r="154" spans="1:7" x14ac:dyDescent="0.35">
      <c r="A154">
        <v>59</v>
      </c>
      <c r="B154" t="s">
        <v>113</v>
      </c>
      <c r="C154">
        <v>5500</v>
      </c>
      <c r="D154" t="s">
        <v>74</v>
      </c>
      <c r="E154" t="s">
        <v>107</v>
      </c>
      <c r="F154" t="s">
        <v>8</v>
      </c>
      <c r="G154" t="str">
        <f t="shared" si="2"/>
        <v>DB 59aGrafit refleks</v>
      </c>
    </row>
    <row r="155" spans="1:7" x14ac:dyDescent="0.35">
      <c r="A155">
        <v>59</v>
      </c>
      <c r="B155" t="s">
        <v>113</v>
      </c>
      <c r="C155">
        <v>5500</v>
      </c>
      <c r="D155" t="s">
        <v>74</v>
      </c>
      <c r="E155" t="s">
        <v>107</v>
      </c>
      <c r="F155" t="s">
        <v>43</v>
      </c>
      <c r="G155" t="str">
        <f t="shared" si="2"/>
        <v>DB 59aLustro weneckie</v>
      </c>
    </row>
    <row r="156" spans="1:7" x14ac:dyDescent="0.35">
      <c r="A156">
        <v>59</v>
      </c>
      <c r="B156" t="s">
        <v>113</v>
      </c>
      <c r="C156">
        <v>5700</v>
      </c>
      <c r="D156" t="s">
        <v>74</v>
      </c>
      <c r="E156" t="s">
        <v>107</v>
      </c>
      <c r="F156" t="s">
        <v>77</v>
      </c>
      <c r="G156" t="str">
        <f t="shared" si="2"/>
        <v>DB 59aMleczne</v>
      </c>
    </row>
    <row r="157" spans="1:7" x14ac:dyDescent="0.35">
      <c r="A157">
        <v>60</v>
      </c>
      <c r="B157" t="s">
        <v>114</v>
      </c>
      <c r="C157">
        <v>5400</v>
      </c>
      <c r="D157" t="s">
        <v>74</v>
      </c>
      <c r="E157" t="s">
        <v>107</v>
      </c>
      <c r="F157" t="s">
        <v>827</v>
      </c>
      <c r="G157" t="str">
        <f t="shared" si="2"/>
        <v>DB 60Przezierne</v>
      </c>
    </row>
    <row r="158" spans="1:7" x14ac:dyDescent="0.35">
      <c r="A158">
        <v>60</v>
      </c>
      <c r="B158" t="s">
        <v>114</v>
      </c>
      <c r="C158">
        <v>5400</v>
      </c>
      <c r="D158" t="s">
        <v>74</v>
      </c>
      <c r="E158" t="s">
        <v>107</v>
      </c>
      <c r="F158" t="s">
        <v>76</v>
      </c>
      <c r="G158" t="str">
        <f t="shared" si="2"/>
        <v>DB 60Brąz refleks</v>
      </c>
    </row>
    <row r="159" spans="1:7" x14ac:dyDescent="0.35">
      <c r="A159">
        <v>60</v>
      </c>
      <c r="B159" t="s">
        <v>114</v>
      </c>
      <c r="C159">
        <v>5500</v>
      </c>
      <c r="D159" t="s">
        <v>74</v>
      </c>
      <c r="E159" t="s">
        <v>107</v>
      </c>
      <c r="F159" t="s">
        <v>8</v>
      </c>
      <c r="G159" t="str">
        <f t="shared" si="2"/>
        <v>DB 60Grafit refleks</v>
      </c>
    </row>
    <row r="160" spans="1:7" x14ac:dyDescent="0.35">
      <c r="A160">
        <v>60</v>
      </c>
      <c r="B160" t="s">
        <v>114</v>
      </c>
      <c r="C160">
        <v>5500</v>
      </c>
      <c r="D160" t="s">
        <v>74</v>
      </c>
      <c r="E160" t="s">
        <v>107</v>
      </c>
      <c r="F160" t="s">
        <v>43</v>
      </c>
      <c r="G160" t="str">
        <f t="shared" si="2"/>
        <v>DB 60Lustro weneckie</v>
      </c>
    </row>
    <row r="161" spans="1:7" x14ac:dyDescent="0.35">
      <c r="A161">
        <v>60</v>
      </c>
      <c r="B161" t="s">
        <v>114</v>
      </c>
      <c r="C161">
        <v>5700</v>
      </c>
      <c r="D161" t="s">
        <v>74</v>
      </c>
      <c r="E161" t="s">
        <v>107</v>
      </c>
      <c r="F161" t="s">
        <v>77</v>
      </c>
      <c r="G161" t="str">
        <f t="shared" si="2"/>
        <v>DB 60Mleczne</v>
      </c>
    </row>
    <row r="162" spans="1:7" x14ac:dyDescent="0.35">
      <c r="A162">
        <v>61</v>
      </c>
      <c r="B162" t="s">
        <v>115</v>
      </c>
      <c r="C162">
        <v>5400</v>
      </c>
      <c r="D162" t="s">
        <v>74</v>
      </c>
      <c r="E162" t="s">
        <v>107</v>
      </c>
      <c r="F162" t="s">
        <v>97</v>
      </c>
      <c r="G162" t="str">
        <f t="shared" si="2"/>
        <v>DB 61aBrak (pełne)</v>
      </c>
    </row>
    <row r="163" spans="1:7" x14ac:dyDescent="0.35">
      <c r="A163">
        <v>62</v>
      </c>
      <c r="B163" t="s">
        <v>116</v>
      </c>
      <c r="C163">
        <v>5000</v>
      </c>
      <c r="D163" t="s">
        <v>74</v>
      </c>
      <c r="E163" t="s">
        <v>107</v>
      </c>
      <c r="F163" t="s">
        <v>97</v>
      </c>
      <c r="G163" t="str">
        <f t="shared" si="2"/>
        <v>DB 62aBrak (pełne)</v>
      </c>
    </row>
    <row r="164" spans="1:7" x14ac:dyDescent="0.35">
      <c r="A164">
        <v>63</v>
      </c>
      <c r="B164" t="s">
        <v>117</v>
      </c>
      <c r="C164">
        <v>5000</v>
      </c>
      <c r="D164" t="s">
        <v>74</v>
      </c>
      <c r="E164" t="s">
        <v>107</v>
      </c>
      <c r="F164" t="s">
        <v>97</v>
      </c>
      <c r="G164" t="str">
        <f t="shared" si="2"/>
        <v>DB 63Brak (pełne)</v>
      </c>
    </row>
    <row r="165" spans="1:7" x14ac:dyDescent="0.35">
      <c r="A165">
        <v>63</v>
      </c>
      <c r="B165" t="s">
        <v>118</v>
      </c>
      <c r="C165">
        <v>5000</v>
      </c>
      <c r="D165" t="s">
        <v>74</v>
      </c>
      <c r="E165" t="s">
        <v>107</v>
      </c>
      <c r="F165" t="s">
        <v>97</v>
      </c>
      <c r="G165" t="str">
        <f t="shared" si="2"/>
        <v>DB 63aBrak (pełne)</v>
      </c>
    </row>
    <row r="166" spans="1:7" x14ac:dyDescent="0.35">
      <c r="A166">
        <v>65</v>
      </c>
      <c r="B166" t="s">
        <v>119</v>
      </c>
      <c r="C166">
        <v>5400</v>
      </c>
      <c r="D166" t="s">
        <v>74</v>
      </c>
      <c r="E166" t="s">
        <v>107</v>
      </c>
      <c r="F166" t="s">
        <v>827</v>
      </c>
      <c r="G166" t="str">
        <f t="shared" si="2"/>
        <v>DB 65Przezierne</v>
      </c>
    </row>
    <row r="167" spans="1:7" x14ac:dyDescent="0.35">
      <c r="A167">
        <v>65</v>
      </c>
      <c r="B167" t="s">
        <v>119</v>
      </c>
      <c r="C167">
        <v>5400</v>
      </c>
      <c r="D167" t="s">
        <v>74</v>
      </c>
      <c r="E167" t="s">
        <v>107</v>
      </c>
      <c r="F167" t="s">
        <v>76</v>
      </c>
      <c r="G167" t="str">
        <f t="shared" si="2"/>
        <v>DB 65Brąz refleks</v>
      </c>
    </row>
    <row r="168" spans="1:7" x14ac:dyDescent="0.35">
      <c r="A168">
        <v>65</v>
      </c>
      <c r="B168" t="s">
        <v>119</v>
      </c>
      <c r="C168">
        <v>5500</v>
      </c>
      <c r="D168" t="s">
        <v>74</v>
      </c>
      <c r="E168" t="s">
        <v>107</v>
      </c>
      <c r="F168" t="s">
        <v>8</v>
      </c>
      <c r="G168" t="str">
        <f t="shared" si="2"/>
        <v>DB 65Grafit refleks</v>
      </c>
    </row>
    <row r="169" spans="1:7" x14ac:dyDescent="0.35">
      <c r="A169">
        <v>65</v>
      </c>
      <c r="B169" t="s">
        <v>119</v>
      </c>
      <c r="C169">
        <v>5500</v>
      </c>
      <c r="D169" t="s">
        <v>74</v>
      </c>
      <c r="E169" t="s">
        <v>107</v>
      </c>
      <c r="F169" t="s">
        <v>43</v>
      </c>
      <c r="G169" t="str">
        <f t="shared" si="2"/>
        <v>DB 65Lustro weneckie</v>
      </c>
    </row>
    <row r="170" spans="1:7" x14ac:dyDescent="0.35">
      <c r="A170">
        <v>65</v>
      </c>
      <c r="B170" t="s">
        <v>119</v>
      </c>
      <c r="C170">
        <v>5700</v>
      </c>
      <c r="D170" t="s">
        <v>74</v>
      </c>
      <c r="E170" t="s">
        <v>107</v>
      </c>
      <c r="F170" t="s">
        <v>77</v>
      </c>
      <c r="G170" t="str">
        <f t="shared" si="2"/>
        <v>DB 65Mleczne</v>
      </c>
    </row>
    <row r="171" spans="1:7" x14ac:dyDescent="0.35">
      <c r="A171">
        <v>66</v>
      </c>
      <c r="B171" t="s">
        <v>120</v>
      </c>
      <c r="C171">
        <v>5400</v>
      </c>
      <c r="D171" t="s">
        <v>74</v>
      </c>
      <c r="E171" t="s">
        <v>107</v>
      </c>
      <c r="F171" t="s">
        <v>97</v>
      </c>
      <c r="G171" t="str">
        <f t="shared" si="2"/>
        <v>DB 66aBrak (pełne)</v>
      </c>
    </row>
    <row r="172" spans="1:7" x14ac:dyDescent="0.35">
      <c r="A172">
        <v>67</v>
      </c>
      <c r="B172" t="s">
        <v>121</v>
      </c>
      <c r="C172">
        <v>5400</v>
      </c>
      <c r="D172" t="s">
        <v>74</v>
      </c>
      <c r="E172" t="s">
        <v>107</v>
      </c>
      <c r="F172" t="s">
        <v>827</v>
      </c>
      <c r="G172" t="str">
        <f t="shared" si="2"/>
        <v>DB 67Przezierne</v>
      </c>
    </row>
    <row r="173" spans="1:7" x14ac:dyDescent="0.35">
      <c r="A173">
        <v>67</v>
      </c>
      <c r="B173" t="s">
        <v>121</v>
      </c>
      <c r="C173">
        <v>5400</v>
      </c>
      <c r="D173" t="s">
        <v>74</v>
      </c>
      <c r="E173" t="s">
        <v>107</v>
      </c>
      <c r="F173" t="s">
        <v>76</v>
      </c>
      <c r="G173" t="str">
        <f t="shared" si="2"/>
        <v>DB 67Brąz refleks</v>
      </c>
    </row>
    <row r="174" spans="1:7" x14ac:dyDescent="0.35">
      <c r="A174">
        <v>67</v>
      </c>
      <c r="B174" t="s">
        <v>121</v>
      </c>
      <c r="C174">
        <v>5500</v>
      </c>
      <c r="D174" t="s">
        <v>74</v>
      </c>
      <c r="E174" t="s">
        <v>107</v>
      </c>
      <c r="F174" t="s">
        <v>8</v>
      </c>
      <c r="G174" t="str">
        <f t="shared" si="2"/>
        <v>DB 67Grafit refleks</v>
      </c>
    </row>
    <row r="175" spans="1:7" x14ac:dyDescent="0.35">
      <c r="A175">
        <v>67</v>
      </c>
      <c r="B175" t="s">
        <v>121</v>
      </c>
      <c r="C175">
        <v>5500</v>
      </c>
      <c r="D175" t="s">
        <v>74</v>
      </c>
      <c r="E175" t="s">
        <v>107</v>
      </c>
      <c r="F175" t="s">
        <v>43</v>
      </c>
      <c r="G175" t="str">
        <f t="shared" si="2"/>
        <v>DB 67Lustro weneckie</v>
      </c>
    </row>
    <row r="176" spans="1:7" x14ac:dyDescent="0.35">
      <c r="A176">
        <v>67</v>
      </c>
      <c r="B176" t="s">
        <v>121</v>
      </c>
      <c r="C176">
        <v>5700</v>
      </c>
      <c r="D176" t="s">
        <v>74</v>
      </c>
      <c r="E176" t="s">
        <v>107</v>
      </c>
      <c r="F176" t="s">
        <v>77</v>
      </c>
      <c r="G176" t="str">
        <f t="shared" si="2"/>
        <v>DB 67Mleczne</v>
      </c>
    </row>
    <row r="177" spans="1:7" x14ac:dyDescent="0.35">
      <c r="A177">
        <v>68</v>
      </c>
      <c r="B177" t="s">
        <v>122</v>
      </c>
      <c r="C177">
        <v>5400</v>
      </c>
      <c r="D177" t="s">
        <v>74</v>
      </c>
      <c r="E177" t="s">
        <v>107</v>
      </c>
      <c r="F177" t="s">
        <v>97</v>
      </c>
      <c r="G177" t="str">
        <f t="shared" si="2"/>
        <v>DB 68aBrak (pełne)</v>
      </c>
    </row>
    <row r="178" spans="1:7" x14ac:dyDescent="0.35">
      <c r="A178">
        <v>69</v>
      </c>
      <c r="B178" t="s">
        <v>123</v>
      </c>
      <c r="C178">
        <v>5400</v>
      </c>
      <c r="D178" t="s">
        <v>74</v>
      </c>
      <c r="E178" t="s">
        <v>107</v>
      </c>
      <c r="F178" t="s">
        <v>827</v>
      </c>
      <c r="G178" t="str">
        <f t="shared" si="2"/>
        <v>DB 69Przezierne</v>
      </c>
    </row>
    <row r="179" spans="1:7" x14ac:dyDescent="0.35">
      <c r="A179">
        <v>69</v>
      </c>
      <c r="B179" t="s">
        <v>123</v>
      </c>
      <c r="C179">
        <v>5400</v>
      </c>
      <c r="D179" t="s">
        <v>74</v>
      </c>
      <c r="E179" t="s">
        <v>107</v>
      </c>
      <c r="F179" t="s">
        <v>76</v>
      </c>
      <c r="G179" t="str">
        <f t="shared" si="2"/>
        <v>DB 69Brąz refleks</v>
      </c>
    </row>
    <row r="180" spans="1:7" x14ac:dyDescent="0.35">
      <c r="A180">
        <v>69</v>
      </c>
      <c r="B180" t="s">
        <v>123</v>
      </c>
      <c r="C180">
        <v>5500</v>
      </c>
      <c r="D180" t="s">
        <v>74</v>
      </c>
      <c r="E180" t="s">
        <v>107</v>
      </c>
      <c r="F180" t="s">
        <v>8</v>
      </c>
      <c r="G180" t="str">
        <f t="shared" si="2"/>
        <v>DB 69Grafit refleks</v>
      </c>
    </row>
    <row r="181" spans="1:7" x14ac:dyDescent="0.35">
      <c r="A181">
        <v>69</v>
      </c>
      <c r="B181" t="s">
        <v>123</v>
      </c>
      <c r="C181">
        <v>5500</v>
      </c>
      <c r="D181" t="s">
        <v>74</v>
      </c>
      <c r="E181" t="s">
        <v>107</v>
      </c>
      <c r="F181" t="s">
        <v>43</v>
      </c>
      <c r="G181" t="str">
        <f t="shared" si="2"/>
        <v>DB 69Lustro weneckie</v>
      </c>
    </row>
    <row r="182" spans="1:7" x14ac:dyDescent="0.35">
      <c r="A182">
        <v>69</v>
      </c>
      <c r="B182" t="s">
        <v>123</v>
      </c>
      <c r="C182">
        <v>5700</v>
      </c>
      <c r="D182" t="s">
        <v>74</v>
      </c>
      <c r="E182" t="s">
        <v>107</v>
      </c>
      <c r="F182" t="s">
        <v>77</v>
      </c>
      <c r="G182" t="str">
        <f t="shared" si="2"/>
        <v>DB 69Mleczne</v>
      </c>
    </row>
    <row r="183" spans="1:7" x14ac:dyDescent="0.35">
      <c r="A183">
        <v>70</v>
      </c>
      <c r="B183" t="s">
        <v>124</v>
      </c>
      <c r="C183">
        <v>5400</v>
      </c>
      <c r="D183" t="s">
        <v>74</v>
      </c>
      <c r="E183" t="s">
        <v>107</v>
      </c>
      <c r="F183" t="s">
        <v>827</v>
      </c>
      <c r="G183" t="str">
        <f t="shared" si="2"/>
        <v>DB 70Przezierne</v>
      </c>
    </row>
    <row r="184" spans="1:7" x14ac:dyDescent="0.35">
      <c r="A184">
        <v>70</v>
      </c>
      <c r="B184" t="s">
        <v>124</v>
      </c>
      <c r="C184">
        <v>5400</v>
      </c>
      <c r="D184" t="s">
        <v>74</v>
      </c>
      <c r="E184" t="s">
        <v>107</v>
      </c>
      <c r="F184" t="s">
        <v>76</v>
      </c>
      <c r="G184" t="str">
        <f t="shared" si="2"/>
        <v>DB 70Brąz refleks</v>
      </c>
    </row>
    <row r="185" spans="1:7" x14ac:dyDescent="0.35">
      <c r="A185">
        <v>70</v>
      </c>
      <c r="B185" t="s">
        <v>124</v>
      </c>
      <c r="C185">
        <v>5500</v>
      </c>
      <c r="D185" t="s">
        <v>74</v>
      </c>
      <c r="E185" t="s">
        <v>107</v>
      </c>
      <c r="F185" t="s">
        <v>8</v>
      </c>
      <c r="G185" t="str">
        <f t="shared" ref="G185:G244" si="3">B185&amp;F185</f>
        <v>DB 70Grafit refleks</v>
      </c>
    </row>
    <row r="186" spans="1:7" x14ac:dyDescent="0.35">
      <c r="A186">
        <v>70</v>
      </c>
      <c r="B186" t="s">
        <v>124</v>
      </c>
      <c r="C186">
        <v>5500</v>
      </c>
      <c r="D186" t="s">
        <v>74</v>
      </c>
      <c r="E186" t="s">
        <v>107</v>
      </c>
      <c r="F186" t="s">
        <v>43</v>
      </c>
      <c r="G186" t="str">
        <f t="shared" si="3"/>
        <v>DB 70Lustro weneckie</v>
      </c>
    </row>
    <row r="187" spans="1:7" x14ac:dyDescent="0.35">
      <c r="A187">
        <v>70</v>
      </c>
      <c r="B187" t="s">
        <v>124</v>
      </c>
      <c r="C187">
        <v>5700</v>
      </c>
      <c r="D187" t="s">
        <v>74</v>
      </c>
      <c r="E187" t="s">
        <v>107</v>
      </c>
      <c r="F187" t="s">
        <v>77</v>
      </c>
      <c r="G187" t="str">
        <f t="shared" si="3"/>
        <v>DB 70Mleczne</v>
      </c>
    </row>
    <row r="188" spans="1:7" x14ac:dyDescent="0.35">
      <c r="A188">
        <v>71</v>
      </c>
      <c r="B188" t="s">
        <v>125</v>
      </c>
      <c r="C188">
        <v>5400</v>
      </c>
      <c r="D188" t="s">
        <v>74</v>
      </c>
      <c r="E188" t="s">
        <v>107</v>
      </c>
      <c r="F188" t="s">
        <v>827</v>
      </c>
      <c r="G188" t="str">
        <f t="shared" si="3"/>
        <v>DB 71aPrzezierne</v>
      </c>
    </row>
    <row r="189" spans="1:7" x14ac:dyDescent="0.35">
      <c r="A189">
        <v>71</v>
      </c>
      <c r="B189" t="s">
        <v>125</v>
      </c>
      <c r="C189">
        <v>5400</v>
      </c>
      <c r="D189" t="s">
        <v>74</v>
      </c>
      <c r="E189" t="s">
        <v>107</v>
      </c>
      <c r="F189" t="s">
        <v>76</v>
      </c>
      <c r="G189" t="str">
        <f t="shared" si="3"/>
        <v>DB 71aBrąz refleks</v>
      </c>
    </row>
    <row r="190" spans="1:7" x14ac:dyDescent="0.35">
      <c r="A190">
        <v>71</v>
      </c>
      <c r="B190" t="s">
        <v>125</v>
      </c>
      <c r="C190">
        <v>5500</v>
      </c>
      <c r="D190" t="s">
        <v>74</v>
      </c>
      <c r="E190" t="s">
        <v>107</v>
      </c>
      <c r="F190" t="s">
        <v>8</v>
      </c>
      <c r="G190" t="str">
        <f t="shared" si="3"/>
        <v>DB 71aGrafit refleks</v>
      </c>
    </row>
    <row r="191" spans="1:7" x14ac:dyDescent="0.35">
      <c r="A191">
        <v>71</v>
      </c>
      <c r="B191" t="s">
        <v>125</v>
      </c>
      <c r="C191">
        <v>5500</v>
      </c>
      <c r="D191" t="s">
        <v>74</v>
      </c>
      <c r="E191" t="s">
        <v>107</v>
      </c>
      <c r="F191" t="s">
        <v>43</v>
      </c>
      <c r="G191" t="str">
        <f t="shared" si="3"/>
        <v>DB 71aLustro weneckie</v>
      </c>
    </row>
    <row r="192" spans="1:7" x14ac:dyDescent="0.35">
      <c r="A192">
        <v>71</v>
      </c>
      <c r="B192" t="s">
        <v>125</v>
      </c>
      <c r="C192">
        <v>5700</v>
      </c>
      <c r="D192" t="s">
        <v>74</v>
      </c>
      <c r="E192" t="s">
        <v>107</v>
      </c>
      <c r="F192" t="s">
        <v>77</v>
      </c>
      <c r="G192" t="str">
        <f t="shared" si="3"/>
        <v>DB 71aMleczne</v>
      </c>
    </row>
    <row r="193" spans="1:8" x14ac:dyDescent="0.35">
      <c r="A193">
        <v>71</v>
      </c>
      <c r="B193" t="s">
        <v>125</v>
      </c>
      <c r="C193">
        <v>5700</v>
      </c>
      <c r="D193" t="s">
        <v>74</v>
      </c>
      <c r="E193" t="s">
        <v>107</v>
      </c>
      <c r="F193" t="s">
        <v>78</v>
      </c>
      <c r="G193" t="str">
        <f t="shared" si="3"/>
        <v>DB 71aPiaskowane refleks</v>
      </c>
    </row>
    <row r="194" spans="1:8" x14ac:dyDescent="0.35">
      <c r="A194">
        <v>72</v>
      </c>
      <c r="B194" t="s">
        <v>126</v>
      </c>
      <c r="C194">
        <v>5400</v>
      </c>
      <c r="D194" t="s">
        <v>74</v>
      </c>
      <c r="E194" t="s">
        <v>107</v>
      </c>
      <c r="F194" t="s">
        <v>827</v>
      </c>
      <c r="G194" t="str">
        <f t="shared" si="3"/>
        <v>DB 72aPrzezierne</v>
      </c>
    </row>
    <row r="195" spans="1:8" x14ac:dyDescent="0.35">
      <c r="A195">
        <v>72</v>
      </c>
      <c r="B195" t="s">
        <v>126</v>
      </c>
      <c r="C195">
        <v>5400</v>
      </c>
      <c r="D195" t="s">
        <v>74</v>
      </c>
      <c r="E195" t="s">
        <v>107</v>
      </c>
      <c r="F195" t="s">
        <v>76</v>
      </c>
      <c r="G195" t="str">
        <f t="shared" si="3"/>
        <v>DB 72aBrąz refleks</v>
      </c>
    </row>
    <row r="196" spans="1:8" x14ac:dyDescent="0.35">
      <c r="A196">
        <v>72</v>
      </c>
      <c r="B196" t="s">
        <v>126</v>
      </c>
      <c r="C196">
        <v>5500</v>
      </c>
      <c r="D196" t="s">
        <v>74</v>
      </c>
      <c r="E196" t="s">
        <v>107</v>
      </c>
      <c r="F196" t="s">
        <v>8</v>
      </c>
      <c r="G196" t="str">
        <f t="shared" si="3"/>
        <v>DB 72aGrafit refleks</v>
      </c>
    </row>
    <row r="197" spans="1:8" x14ac:dyDescent="0.35">
      <c r="A197">
        <v>72</v>
      </c>
      <c r="B197" t="s">
        <v>126</v>
      </c>
      <c r="C197">
        <v>5500</v>
      </c>
      <c r="D197" t="s">
        <v>74</v>
      </c>
      <c r="E197" t="s">
        <v>107</v>
      </c>
      <c r="F197" t="s">
        <v>43</v>
      </c>
      <c r="G197" t="str">
        <f t="shared" si="3"/>
        <v>DB 72aLustro weneckie</v>
      </c>
    </row>
    <row r="198" spans="1:8" x14ac:dyDescent="0.35">
      <c r="A198">
        <v>72</v>
      </c>
      <c r="B198" t="s">
        <v>126</v>
      </c>
      <c r="C198">
        <v>5700</v>
      </c>
      <c r="D198" t="s">
        <v>74</v>
      </c>
      <c r="E198" t="s">
        <v>107</v>
      </c>
      <c r="F198" t="s">
        <v>77</v>
      </c>
      <c r="G198" t="str">
        <f t="shared" si="3"/>
        <v>DB 72aMleczne</v>
      </c>
    </row>
    <row r="199" spans="1:8" x14ac:dyDescent="0.35">
      <c r="A199">
        <v>73</v>
      </c>
      <c r="B199" t="s">
        <v>127</v>
      </c>
      <c r="C199">
        <v>5000</v>
      </c>
      <c r="D199" t="s">
        <v>74</v>
      </c>
      <c r="E199" t="s">
        <v>107</v>
      </c>
      <c r="F199" t="s">
        <v>97</v>
      </c>
      <c r="G199" t="str">
        <f t="shared" si="3"/>
        <v>DB 73Brak (pełne)</v>
      </c>
    </row>
    <row r="200" spans="1:8" x14ac:dyDescent="0.35">
      <c r="A200">
        <v>74</v>
      </c>
      <c r="B200" t="s">
        <v>128</v>
      </c>
      <c r="C200">
        <v>5500</v>
      </c>
      <c r="D200" t="s">
        <v>74</v>
      </c>
      <c r="E200" t="s">
        <v>129</v>
      </c>
      <c r="F200" t="s">
        <v>827</v>
      </c>
      <c r="G200" t="str">
        <f t="shared" si="3"/>
        <v>DB 74Przezierne</v>
      </c>
      <c r="H200">
        <v>200</v>
      </c>
    </row>
    <row r="201" spans="1:8" x14ac:dyDescent="0.35">
      <c r="A201">
        <v>74</v>
      </c>
      <c r="B201" t="s">
        <v>128</v>
      </c>
      <c r="C201">
        <v>5500</v>
      </c>
      <c r="D201" t="s">
        <v>74</v>
      </c>
      <c r="E201" t="s">
        <v>129</v>
      </c>
      <c r="F201" t="s">
        <v>76</v>
      </c>
      <c r="G201" t="str">
        <f t="shared" si="3"/>
        <v>DB 74Brąz refleks</v>
      </c>
      <c r="H201">
        <v>200</v>
      </c>
    </row>
    <row r="202" spans="1:8" x14ac:dyDescent="0.35">
      <c r="A202">
        <v>74</v>
      </c>
      <c r="B202" t="s">
        <v>128</v>
      </c>
      <c r="C202">
        <v>5600</v>
      </c>
      <c r="D202" t="s">
        <v>74</v>
      </c>
      <c r="E202" t="s">
        <v>129</v>
      </c>
      <c r="F202" t="s">
        <v>8</v>
      </c>
      <c r="G202" t="str">
        <f t="shared" si="3"/>
        <v>DB 74Grafit refleks</v>
      </c>
      <c r="H202">
        <v>200</v>
      </c>
    </row>
    <row r="203" spans="1:8" x14ac:dyDescent="0.35">
      <c r="A203">
        <v>74</v>
      </c>
      <c r="B203" t="s">
        <v>128</v>
      </c>
      <c r="C203">
        <v>5600</v>
      </c>
      <c r="D203" t="s">
        <v>74</v>
      </c>
      <c r="E203" t="s">
        <v>129</v>
      </c>
      <c r="F203" t="s">
        <v>43</v>
      </c>
      <c r="G203" t="str">
        <f t="shared" si="3"/>
        <v>DB 74Lustro weneckie</v>
      </c>
      <c r="H203">
        <v>200</v>
      </c>
    </row>
    <row r="204" spans="1:8" x14ac:dyDescent="0.35">
      <c r="A204">
        <v>74</v>
      </c>
      <c r="B204" t="s">
        <v>128</v>
      </c>
      <c r="C204">
        <v>5800</v>
      </c>
      <c r="D204" t="s">
        <v>74</v>
      </c>
      <c r="E204" t="s">
        <v>129</v>
      </c>
      <c r="F204" t="s">
        <v>77</v>
      </c>
      <c r="G204" t="str">
        <f t="shared" si="3"/>
        <v>DB 74Mleczne</v>
      </c>
      <c r="H204">
        <v>200</v>
      </c>
    </row>
    <row r="205" spans="1:8" x14ac:dyDescent="0.35">
      <c r="A205">
        <v>77</v>
      </c>
      <c r="B205" t="s">
        <v>130</v>
      </c>
      <c r="C205">
        <v>5500</v>
      </c>
      <c r="D205" t="s">
        <v>74</v>
      </c>
      <c r="E205" t="s">
        <v>129</v>
      </c>
      <c r="F205" t="s">
        <v>827</v>
      </c>
      <c r="G205" t="str">
        <f t="shared" si="3"/>
        <v>DB 77Przezierne</v>
      </c>
      <c r="H205">
        <v>200</v>
      </c>
    </row>
    <row r="206" spans="1:8" x14ac:dyDescent="0.35">
      <c r="A206">
        <v>77</v>
      </c>
      <c r="B206" t="s">
        <v>130</v>
      </c>
      <c r="C206">
        <v>5500</v>
      </c>
      <c r="D206" t="s">
        <v>74</v>
      </c>
      <c r="E206" t="s">
        <v>129</v>
      </c>
      <c r="F206" t="s">
        <v>76</v>
      </c>
      <c r="G206" t="str">
        <f t="shared" si="3"/>
        <v>DB 77Brąz refleks</v>
      </c>
      <c r="H206">
        <v>200</v>
      </c>
    </row>
    <row r="207" spans="1:8" x14ac:dyDescent="0.35">
      <c r="A207">
        <v>77</v>
      </c>
      <c r="B207" t="s">
        <v>130</v>
      </c>
      <c r="C207">
        <v>5600</v>
      </c>
      <c r="D207" t="s">
        <v>74</v>
      </c>
      <c r="E207" t="s">
        <v>129</v>
      </c>
      <c r="F207" t="s">
        <v>8</v>
      </c>
      <c r="G207" t="str">
        <f t="shared" si="3"/>
        <v>DB 77Grafit refleks</v>
      </c>
      <c r="H207">
        <v>200</v>
      </c>
    </row>
    <row r="208" spans="1:8" x14ac:dyDescent="0.35">
      <c r="A208">
        <v>77</v>
      </c>
      <c r="B208" t="s">
        <v>130</v>
      </c>
      <c r="C208">
        <v>5600</v>
      </c>
      <c r="D208" t="s">
        <v>74</v>
      </c>
      <c r="E208" t="s">
        <v>129</v>
      </c>
      <c r="F208" t="s">
        <v>43</v>
      </c>
      <c r="G208" t="str">
        <f t="shared" si="3"/>
        <v>DB 77Lustro weneckie</v>
      </c>
      <c r="H208">
        <v>200</v>
      </c>
    </row>
    <row r="209" spans="1:8" x14ac:dyDescent="0.35">
      <c r="A209">
        <v>77</v>
      </c>
      <c r="B209" t="s">
        <v>130</v>
      </c>
      <c r="C209">
        <v>5800</v>
      </c>
      <c r="D209" t="s">
        <v>74</v>
      </c>
      <c r="E209" t="s">
        <v>129</v>
      </c>
      <c r="F209" t="s">
        <v>77</v>
      </c>
      <c r="G209" t="str">
        <f t="shared" si="3"/>
        <v>DB 77Mleczne</v>
      </c>
      <c r="H209">
        <v>200</v>
      </c>
    </row>
    <row r="210" spans="1:8" x14ac:dyDescent="0.35">
      <c r="A210">
        <v>78</v>
      </c>
      <c r="B210" t="s">
        <v>131</v>
      </c>
      <c r="C210">
        <v>5500</v>
      </c>
      <c r="D210" t="s">
        <v>74</v>
      </c>
      <c r="E210" t="s">
        <v>129</v>
      </c>
      <c r="F210" t="s">
        <v>827</v>
      </c>
      <c r="G210" t="str">
        <f t="shared" si="3"/>
        <v>DB 78Przezierne</v>
      </c>
      <c r="H210">
        <v>200</v>
      </c>
    </row>
    <row r="211" spans="1:8" x14ac:dyDescent="0.35">
      <c r="A211">
        <v>78</v>
      </c>
      <c r="B211" t="s">
        <v>131</v>
      </c>
      <c r="C211">
        <v>5500</v>
      </c>
      <c r="D211" t="s">
        <v>74</v>
      </c>
      <c r="E211" t="s">
        <v>129</v>
      </c>
      <c r="F211" t="s">
        <v>76</v>
      </c>
      <c r="G211" t="str">
        <f t="shared" si="3"/>
        <v>DB 78Brąz refleks</v>
      </c>
      <c r="H211">
        <v>200</v>
      </c>
    </row>
    <row r="212" spans="1:8" x14ac:dyDescent="0.35">
      <c r="A212">
        <v>78</v>
      </c>
      <c r="B212" t="s">
        <v>131</v>
      </c>
      <c r="C212">
        <v>5600</v>
      </c>
      <c r="D212" t="s">
        <v>74</v>
      </c>
      <c r="E212" t="s">
        <v>129</v>
      </c>
      <c r="F212" t="s">
        <v>8</v>
      </c>
      <c r="G212" t="str">
        <f t="shared" si="3"/>
        <v>DB 78Grafit refleks</v>
      </c>
      <c r="H212">
        <v>200</v>
      </c>
    </row>
    <row r="213" spans="1:8" x14ac:dyDescent="0.35">
      <c r="A213">
        <v>78</v>
      </c>
      <c r="B213" t="s">
        <v>131</v>
      </c>
      <c r="C213">
        <v>5600</v>
      </c>
      <c r="D213" t="s">
        <v>74</v>
      </c>
      <c r="E213" t="s">
        <v>129</v>
      </c>
      <c r="F213" t="s">
        <v>43</v>
      </c>
      <c r="G213" t="str">
        <f t="shared" si="3"/>
        <v>DB 78Lustro weneckie</v>
      </c>
      <c r="H213">
        <v>200</v>
      </c>
    </row>
    <row r="214" spans="1:8" x14ac:dyDescent="0.35">
      <c r="A214">
        <v>78</v>
      </c>
      <c r="B214" t="s">
        <v>131</v>
      </c>
      <c r="C214">
        <v>5800</v>
      </c>
      <c r="D214" t="s">
        <v>74</v>
      </c>
      <c r="E214" t="s">
        <v>129</v>
      </c>
      <c r="F214" t="s">
        <v>77</v>
      </c>
      <c r="G214" t="str">
        <f t="shared" si="3"/>
        <v>DB 78Mleczne</v>
      </c>
      <c r="H214">
        <v>200</v>
      </c>
    </row>
    <row r="215" spans="1:8" x14ac:dyDescent="0.35">
      <c r="A215">
        <v>78</v>
      </c>
      <c r="B215" t="s">
        <v>131</v>
      </c>
      <c r="C215">
        <v>5800</v>
      </c>
      <c r="D215" t="s">
        <v>74</v>
      </c>
      <c r="E215" t="s">
        <v>129</v>
      </c>
      <c r="F215" t="s">
        <v>78</v>
      </c>
      <c r="G215" t="str">
        <f t="shared" si="3"/>
        <v>DB 78Piaskowane refleks</v>
      </c>
      <c r="H215">
        <v>200</v>
      </c>
    </row>
    <row r="216" spans="1:8" x14ac:dyDescent="0.35">
      <c r="A216">
        <v>79</v>
      </c>
      <c r="B216" t="s">
        <v>132</v>
      </c>
      <c r="C216">
        <v>5700</v>
      </c>
      <c r="D216" t="s">
        <v>74</v>
      </c>
      <c r="E216" t="s">
        <v>129</v>
      </c>
      <c r="F216" t="s">
        <v>827</v>
      </c>
      <c r="G216" t="str">
        <f t="shared" si="3"/>
        <v>DB 79Przezierne</v>
      </c>
      <c r="H216">
        <v>300</v>
      </c>
    </row>
    <row r="217" spans="1:8" x14ac:dyDescent="0.35">
      <c r="A217">
        <v>79</v>
      </c>
      <c r="B217" t="s">
        <v>132</v>
      </c>
      <c r="C217">
        <v>5700</v>
      </c>
      <c r="D217" t="s">
        <v>74</v>
      </c>
      <c r="E217" t="s">
        <v>129</v>
      </c>
      <c r="F217" t="s">
        <v>76</v>
      </c>
      <c r="G217" t="str">
        <f t="shared" si="3"/>
        <v>DB 79Brąz refleks</v>
      </c>
      <c r="H217">
        <v>300</v>
      </c>
    </row>
    <row r="218" spans="1:8" x14ac:dyDescent="0.35">
      <c r="A218">
        <v>79</v>
      </c>
      <c r="B218" t="s">
        <v>132</v>
      </c>
      <c r="C218">
        <v>5800</v>
      </c>
      <c r="D218" t="s">
        <v>74</v>
      </c>
      <c r="E218" t="s">
        <v>129</v>
      </c>
      <c r="F218" t="s">
        <v>8</v>
      </c>
      <c r="G218" t="str">
        <f t="shared" si="3"/>
        <v>DB 79Grafit refleks</v>
      </c>
      <c r="H218">
        <v>300</v>
      </c>
    </row>
    <row r="219" spans="1:8" x14ac:dyDescent="0.35">
      <c r="A219">
        <v>79</v>
      </c>
      <c r="B219" t="s">
        <v>132</v>
      </c>
      <c r="C219">
        <v>5800</v>
      </c>
      <c r="D219" t="s">
        <v>74</v>
      </c>
      <c r="E219" t="s">
        <v>129</v>
      </c>
      <c r="F219" t="s">
        <v>43</v>
      </c>
      <c r="G219" t="str">
        <f t="shared" si="3"/>
        <v>DB 79Lustro weneckie</v>
      </c>
      <c r="H219">
        <v>300</v>
      </c>
    </row>
    <row r="220" spans="1:8" x14ac:dyDescent="0.35">
      <c r="A220">
        <v>79</v>
      </c>
      <c r="B220" t="s">
        <v>132</v>
      </c>
      <c r="C220">
        <v>6000</v>
      </c>
      <c r="D220" t="s">
        <v>74</v>
      </c>
      <c r="E220" t="s">
        <v>129</v>
      </c>
      <c r="F220" t="s">
        <v>77</v>
      </c>
      <c r="G220" t="str">
        <f t="shared" si="3"/>
        <v>DB 79Mleczne</v>
      </c>
      <c r="H220">
        <v>300</v>
      </c>
    </row>
    <row r="221" spans="1:8" x14ac:dyDescent="0.35">
      <c r="A221">
        <v>79</v>
      </c>
      <c r="B221" t="s">
        <v>132</v>
      </c>
      <c r="C221">
        <v>6000</v>
      </c>
      <c r="D221" t="s">
        <v>74</v>
      </c>
      <c r="E221" t="s">
        <v>129</v>
      </c>
      <c r="F221" t="s">
        <v>78</v>
      </c>
      <c r="G221" t="str">
        <f t="shared" si="3"/>
        <v>DB 79Piaskowane refleks</v>
      </c>
      <c r="H221">
        <v>300</v>
      </c>
    </row>
    <row r="222" spans="1:8" x14ac:dyDescent="0.35">
      <c r="A222">
        <v>80</v>
      </c>
      <c r="B222" t="s">
        <v>133</v>
      </c>
      <c r="C222">
        <v>5700</v>
      </c>
      <c r="D222" t="s">
        <v>74</v>
      </c>
      <c r="E222" t="s">
        <v>129</v>
      </c>
      <c r="F222" t="s">
        <v>827</v>
      </c>
      <c r="G222" t="str">
        <f t="shared" si="3"/>
        <v>DB 80Przezierne</v>
      </c>
      <c r="H222">
        <v>300</v>
      </c>
    </row>
    <row r="223" spans="1:8" x14ac:dyDescent="0.35">
      <c r="A223">
        <v>80</v>
      </c>
      <c r="B223" t="s">
        <v>133</v>
      </c>
      <c r="C223">
        <v>5700</v>
      </c>
      <c r="D223" t="s">
        <v>74</v>
      </c>
      <c r="E223" t="s">
        <v>129</v>
      </c>
      <c r="F223" t="s">
        <v>76</v>
      </c>
      <c r="G223" t="str">
        <f t="shared" si="3"/>
        <v>DB 80Brąz refleks</v>
      </c>
      <c r="H223">
        <v>300</v>
      </c>
    </row>
    <row r="224" spans="1:8" x14ac:dyDescent="0.35">
      <c r="A224">
        <v>80</v>
      </c>
      <c r="B224" t="s">
        <v>133</v>
      </c>
      <c r="C224">
        <v>5800</v>
      </c>
      <c r="D224" t="s">
        <v>74</v>
      </c>
      <c r="E224" t="s">
        <v>129</v>
      </c>
      <c r="F224" t="s">
        <v>8</v>
      </c>
      <c r="G224" t="str">
        <f t="shared" si="3"/>
        <v>DB 80Grafit refleks</v>
      </c>
      <c r="H224">
        <v>300</v>
      </c>
    </row>
    <row r="225" spans="1:8" x14ac:dyDescent="0.35">
      <c r="A225">
        <v>80</v>
      </c>
      <c r="B225" t="s">
        <v>133</v>
      </c>
      <c r="C225">
        <v>5800</v>
      </c>
      <c r="D225" t="s">
        <v>74</v>
      </c>
      <c r="E225" t="s">
        <v>129</v>
      </c>
      <c r="F225" t="s">
        <v>43</v>
      </c>
      <c r="G225" t="str">
        <f t="shared" si="3"/>
        <v>DB 80Lustro weneckie</v>
      </c>
      <c r="H225">
        <v>300</v>
      </c>
    </row>
    <row r="226" spans="1:8" x14ac:dyDescent="0.35">
      <c r="A226">
        <v>80</v>
      </c>
      <c r="B226" t="s">
        <v>133</v>
      </c>
      <c r="C226">
        <v>6000</v>
      </c>
      <c r="D226" t="s">
        <v>74</v>
      </c>
      <c r="E226" t="s">
        <v>129</v>
      </c>
      <c r="F226" t="s">
        <v>77</v>
      </c>
      <c r="G226" t="str">
        <f t="shared" si="3"/>
        <v>DB 80Mleczne</v>
      </c>
      <c r="H226">
        <v>300</v>
      </c>
    </row>
    <row r="227" spans="1:8" x14ac:dyDescent="0.35">
      <c r="A227">
        <v>81</v>
      </c>
      <c r="B227" t="s">
        <v>134</v>
      </c>
      <c r="C227">
        <v>5500</v>
      </c>
      <c r="D227" t="s">
        <v>74</v>
      </c>
      <c r="E227" t="s">
        <v>129</v>
      </c>
      <c r="F227" t="s">
        <v>827</v>
      </c>
      <c r="G227" t="str">
        <f t="shared" si="3"/>
        <v>DB 81Przezierne</v>
      </c>
      <c r="H227">
        <v>200</v>
      </c>
    </row>
    <row r="228" spans="1:8" x14ac:dyDescent="0.35">
      <c r="A228">
        <v>81</v>
      </c>
      <c r="B228" t="s">
        <v>134</v>
      </c>
      <c r="C228">
        <v>5500</v>
      </c>
      <c r="D228" t="s">
        <v>74</v>
      </c>
      <c r="E228" t="s">
        <v>129</v>
      </c>
      <c r="F228" t="s">
        <v>76</v>
      </c>
      <c r="G228" t="str">
        <f t="shared" si="3"/>
        <v>DB 81Brąz refleks</v>
      </c>
      <c r="H228">
        <v>200</v>
      </c>
    </row>
    <row r="229" spans="1:8" x14ac:dyDescent="0.35">
      <c r="A229">
        <v>81</v>
      </c>
      <c r="B229" t="s">
        <v>134</v>
      </c>
      <c r="C229">
        <v>5600</v>
      </c>
      <c r="D229" t="s">
        <v>74</v>
      </c>
      <c r="E229" t="s">
        <v>129</v>
      </c>
      <c r="F229" t="s">
        <v>8</v>
      </c>
      <c r="G229" t="str">
        <f t="shared" si="3"/>
        <v>DB 81Grafit refleks</v>
      </c>
      <c r="H229">
        <v>200</v>
      </c>
    </row>
    <row r="230" spans="1:8" x14ac:dyDescent="0.35">
      <c r="A230">
        <v>81</v>
      </c>
      <c r="B230" t="s">
        <v>134</v>
      </c>
      <c r="C230">
        <v>5600</v>
      </c>
      <c r="D230" t="s">
        <v>74</v>
      </c>
      <c r="E230" t="s">
        <v>129</v>
      </c>
      <c r="F230" t="s">
        <v>43</v>
      </c>
      <c r="G230" t="str">
        <f t="shared" si="3"/>
        <v>DB 81Lustro weneckie</v>
      </c>
      <c r="H230">
        <v>200</v>
      </c>
    </row>
    <row r="231" spans="1:8" x14ac:dyDescent="0.35">
      <c r="A231">
        <v>81</v>
      </c>
      <c r="B231" t="s">
        <v>134</v>
      </c>
      <c r="C231">
        <v>5800</v>
      </c>
      <c r="D231" t="s">
        <v>74</v>
      </c>
      <c r="E231" t="s">
        <v>129</v>
      </c>
      <c r="F231" t="s">
        <v>77</v>
      </c>
      <c r="G231" t="str">
        <f t="shared" si="3"/>
        <v>DB 81Mleczne</v>
      </c>
      <c r="H231">
        <v>200</v>
      </c>
    </row>
    <row r="232" spans="1:8" x14ac:dyDescent="0.35">
      <c r="A232">
        <v>81</v>
      </c>
      <c r="B232" t="s">
        <v>134</v>
      </c>
      <c r="C232">
        <v>5800</v>
      </c>
      <c r="D232" t="s">
        <v>74</v>
      </c>
      <c r="E232" t="s">
        <v>129</v>
      </c>
      <c r="F232" t="s">
        <v>78</v>
      </c>
      <c r="G232" t="str">
        <f t="shared" si="3"/>
        <v>DB 81Piaskowane refleks</v>
      </c>
      <c r="H232">
        <v>200</v>
      </c>
    </row>
    <row r="233" spans="1:8" x14ac:dyDescent="0.35">
      <c r="A233">
        <v>83</v>
      </c>
      <c r="B233" t="s">
        <v>135</v>
      </c>
      <c r="C233">
        <v>5200</v>
      </c>
      <c r="D233" t="s">
        <v>74</v>
      </c>
      <c r="E233" t="s">
        <v>129</v>
      </c>
      <c r="F233" t="s">
        <v>97</v>
      </c>
      <c r="G233" t="str">
        <f t="shared" si="3"/>
        <v>DB 83Brak (pełne)</v>
      </c>
      <c r="H233">
        <v>200</v>
      </c>
    </row>
    <row r="234" spans="1:8" x14ac:dyDescent="0.35">
      <c r="A234">
        <v>85</v>
      </c>
      <c r="B234" t="s">
        <v>136</v>
      </c>
      <c r="C234">
        <v>6100</v>
      </c>
      <c r="D234" t="s">
        <v>74</v>
      </c>
      <c r="E234" t="s">
        <v>137</v>
      </c>
      <c r="F234" t="s">
        <v>97</v>
      </c>
      <c r="G234" t="str">
        <f t="shared" si="3"/>
        <v>DB 85Brak (pełne)</v>
      </c>
    </row>
    <row r="235" spans="1:8" x14ac:dyDescent="0.35">
      <c r="A235">
        <v>85</v>
      </c>
      <c r="B235" t="s">
        <v>136</v>
      </c>
      <c r="C235">
        <v>6500</v>
      </c>
      <c r="D235" t="s">
        <v>74</v>
      </c>
      <c r="E235" t="s">
        <v>137</v>
      </c>
      <c r="F235" t="s">
        <v>76</v>
      </c>
      <c r="G235" t="str">
        <f t="shared" si="3"/>
        <v>DB 85Brąz refleks</v>
      </c>
    </row>
    <row r="236" spans="1:8" x14ac:dyDescent="0.35">
      <c r="A236">
        <v>85</v>
      </c>
      <c r="B236" t="s">
        <v>136</v>
      </c>
      <c r="C236">
        <v>6600</v>
      </c>
      <c r="D236" t="s">
        <v>74</v>
      </c>
      <c r="E236" t="s">
        <v>137</v>
      </c>
      <c r="F236" t="s">
        <v>8</v>
      </c>
      <c r="G236" t="str">
        <f t="shared" si="3"/>
        <v>DB 85Grafit refleks</v>
      </c>
    </row>
    <row r="237" spans="1:8" x14ac:dyDescent="0.35">
      <c r="A237">
        <v>85</v>
      </c>
      <c r="B237" t="s">
        <v>136</v>
      </c>
      <c r="C237">
        <v>6600</v>
      </c>
      <c r="D237" t="s">
        <v>74</v>
      </c>
      <c r="E237" t="s">
        <v>137</v>
      </c>
      <c r="F237" t="s">
        <v>43</v>
      </c>
      <c r="G237" t="str">
        <f t="shared" si="3"/>
        <v>DB 85Lustro weneckie</v>
      </c>
    </row>
    <row r="238" spans="1:8" x14ac:dyDescent="0.35">
      <c r="A238">
        <v>85</v>
      </c>
      <c r="B238" t="s">
        <v>136</v>
      </c>
      <c r="C238">
        <v>6800</v>
      </c>
      <c r="D238" t="s">
        <v>74</v>
      </c>
      <c r="E238" t="s">
        <v>137</v>
      </c>
      <c r="F238" t="s">
        <v>77</v>
      </c>
      <c r="G238" t="str">
        <f t="shared" si="3"/>
        <v>DB 85Mleczne</v>
      </c>
    </row>
    <row r="239" spans="1:8" x14ac:dyDescent="0.35">
      <c r="A239">
        <v>85</v>
      </c>
      <c r="B239" t="s">
        <v>136</v>
      </c>
      <c r="C239">
        <v>6800</v>
      </c>
      <c r="D239" t="s">
        <v>74</v>
      </c>
      <c r="E239" t="s">
        <v>137</v>
      </c>
      <c r="F239" t="s">
        <v>78</v>
      </c>
      <c r="G239" t="str">
        <f t="shared" si="3"/>
        <v>DB 85Piaskowane refleks</v>
      </c>
    </row>
    <row r="240" spans="1:8" x14ac:dyDescent="0.35">
      <c r="A240">
        <v>85</v>
      </c>
      <c r="B240" t="s">
        <v>136</v>
      </c>
      <c r="C240">
        <v>7300</v>
      </c>
      <c r="D240" t="s">
        <v>74</v>
      </c>
      <c r="E240" t="s">
        <v>137</v>
      </c>
      <c r="F240" t="s">
        <v>111</v>
      </c>
      <c r="G240" t="str">
        <f t="shared" si="3"/>
        <v>DB 85Witraz</v>
      </c>
    </row>
    <row r="241" spans="1:7" x14ac:dyDescent="0.35">
      <c r="A241">
        <v>87</v>
      </c>
      <c r="B241" t="s">
        <v>138</v>
      </c>
      <c r="C241">
        <v>6100</v>
      </c>
      <c r="D241" t="s">
        <v>74</v>
      </c>
      <c r="E241" t="s">
        <v>137</v>
      </c>
      <c r="F241" t="s">
        <v>97</v>
      </c>
      <c r="G241" t="str">
        <f t="shared" si="3"/>
        <v>DB 87aBrak (pełne)</v>
      </c>
    </row>
    <row r="242" spans="1:7" x14ac:dyDescent="0.35">
      <c r="A242">
        <v>94</v>
      </c>
      <c r="B242" t="s">
        <v>139</v>
      </c>
      <c r="C242">
        <v>6500</v>
      </c>
      <c r="D242" t="s">
        <v>74</v>
      </c>
      <c r="E242" t="s">
        <v>137</v>
      </c>
      <c r="F242" t="s">
        <v>827</v>
      </c>
      <c r="G242" t="str">
        <f t="shared" si="3"/>
        <v>DB 94Przezierne</v>
      </c>
    </row>
    <row r="243" spans="1:7" x14ac:dyDescent="0.35">
      <c r="A243">
        <v>94</v>
      </c>
      <c r="B243" t="s">
        <v>139</v>
      </c>
      <c r="C243">
        <v>6500</v>
      </c>
      <c r="D243" t="s">
        <v>74</v>
      </c>
      <c r="E243" t="s">
        <v>137</v>
      </c>
      <c r="F243" t="s">
        <v>76</v>
      </c>
      <c r="G243" t="str">
        <f t="shared" si="3"/>
        <v>DB 94Brąz refleks</v>
      </c>
    </row>
    <row r="244" spans="1:7" x14ac:dyDescent="0.35">
      <c r="A244">
        <v>94</v>
      </c>
      <c r="B244" t="s">
        <v>139</v>
      </c>
      <c r="C244">
        <v>6600</v>
      </c>
      <c r="D244" t="s">
        <v>74</v>
      </c>
      <c r="E244" t="s">
        <v>137</v>
      </c>
      <c r="F244" t="s">
        <v>8</v>
      </c>
      <c r="G244" t="str">
        <f t="shared" si="3"/>
        <v>DB 94Grafit refleks</v>
      </c>
    </row>
    <row r="245" spans="1:7" x14ac:dyDescent="0.35">
      <c r="A245">
        <v>94</v>
      </c>
      <c r="B245" t="s">
        <v>139</v>
      </c>
      <c r="C245">
        <v>6600</v>
      </c>
      <c r="D245" t="s">
        <v>74</v>
      </c>
      <c r="E245" t="s">
        <v>137</v>
      </c>
      <c r="F245" t="s">
        <v>43</v>
      </c>
      <c r="G245" t="str">
        <f t="shared" ref="G245:G307" si="4">B245&amp;F245</f>
        <v>DB 94Lustro weneckie</v>
      </c>
    </row>
    <row r="246" spans="1:7" x14ac:dyDescent="0.35">
      <c r="A246">
        <v>94</v>
      </c>
      <c r="B246" t="s">
        <v>139</v>
      </c>
      <c r="C246">
        <v>6800</v>
      </c>
      <c r="D246" t="s">
        <v>74</v>
      </c>
      <c r="E246" t="s">
        <v>137</v>
      </c>
      <c r="F246" t="s">
        <v>77</v>
      </c>
      <c r="G246" t="str">
        <f t="shared" si="4"/>
        <v>DB 94Mleczne</v>
      </c>
    </row>
    <row r="247" spans="1:7" x14ac:dyDescent="0.35">
      <c r="A247">
        <v>94</v>
      </c>
      <c r="B247" t="s">
        <v>139</v>
      </c>
      <c r="C247">
        <v>6800</v>
      </c>
      <c r="D247" t="s">
        <v>74</v>
      </c>
      <c r="E247" t="s">
        <v>137</v>
      </c>
      <c r="F247" t="s">
        <v>78</v>
      </c>
      <c r="G247" t="str">
        <f t="shared" si="4"/>
        <v>DB 94Piaskowane refleks</v>
      </c>
    </row>
    <row r="248" spans="1:7" x14ac:dyDescent="0.35">
      <c r="A248">
        <v>94</v>
      </c>
      <c r="B248" t="s">
        <v>139</v>
      </c>
      <c r="C248">
        <v>6800</v>
      </c>
      <c r="D248" t="s">
        <v>74</v>
      </c>
      <c r="E248" t="s">
        <v>137</v>
      </c>
      <c r="F248" t="s">
        <v>88</v>
      </c>
      <c r="G248" t="str">
        <f t="shared" si="4"/>
        <v>DB 94Brąz refleks wypukły</v>
      </c>
    </row>
    <row r="249" spans="1:7" x14ac:dyDescent="0.35">
      <c r="A249">
        <v>94</v>
      </c>
      <c r="B249" t="s">
        <v>139</v>
      </c>
      <c r="C249">
        <v>7300</v>
      </c>
      <c r="D249" t="s">
        <v>74</v>
      </c>
      <c r="E249" t="s">
        <v>137</v>
      </c>
      <c r="F249" t="s">
        <v>111</v>
      </c>
      <c r="G249" t="str">
        <f t="shared" si="4"/>
        <v>DB 94Witraz</v>
      </c>
    </row>
    <row r="250" spans="1:7" x14ac:dyDescent="0.35">
      <c r="A250">
        <v>106</v>
      </c>
      <c r="B250" t="s">
        <v>140</v>
      </c>
      <c r="C250">
        <v>6100</v>
      </c>
      <c r="D250" t="s">
        <v>74</v>
      </c>
      <c r="E250" t="s">
        <v>137</v>
      </c>
      <c r="F250" t="s">
        <v>97</v>
      </c>
      <c r="G250" t="str">
        <f t="shared" si="4"/>
        <v>DB 106Brak (pełne)</v>
      </c>
    </row>
    <row r="251" spans="1:7" x14ac:dyDescent="0.35">
      <c r="A251">
        <v>106</v>
      </c>
      <c r="B251" t="s">
        <v>140</v>
      </c>
      <c r="C251">
        <v>6500</v>
      </c>
      <c r="D251" t="s">
        <v>74</v>
      </c>
      <c r="E251" t="s">
        <v>137</v>
      </c>
      <c r="F251" t="s">
        <v>827</v>
      </c>
      <c r="G251" t="str">
        <f t="shared" ref="G251" si="5">B251&amp;F251</f>
        <v>DB 106Przezierne</v>
      </c>
    </row>
    <row r="252" spans="1:7" x14ac:dyDescent="0.35">
      <c r="A252">
        <v>106</v>
      </c>
      <c r="B252" t="s">
        <v>140</v>
      </c>
      <c r="C252">
        <v>6500</v>
      </c>
      <c r="D252" t="s">
        <v>74</v>
      </c>
      <c r="E252" t="s">
        <v>137</v>
      </c>
      <c r="F252" t="s">
        <v>76</v>
      </c>
      <c r="G252" t="str">
        <f t="shared" si="4"/>
        <v>DB 106Brąz refleks</v>
      </c>
    </row>
    <row r="253" spans="1:7" x14ac:dyDescent="0.35">
      <c r="A253">
        <v>106</v>
      </c>
      <c r="B253" t="s">
        <v>140</v>
      </c>
      <c r="C253">
        <v>6600</v>
      </c>
      <c r="D253" t="s">
        <v>74</v>
      </c>
      <c r="E253" t="s">
        <v>137</v>
      </c>
      <c r="F253" t="s">
        <v>8</v>
      </c>
      <c r="G253" t="str">
        <f t="shared" si="4"/>
        <v>DB 106Grafit refleks</v>
      </c>
    </row>
    <row r="254" spans="1:7" x14ac:dyDescent="0.35">
      <c r="A254">
        <v>106</v>
      </c>
      <c r="B254" t="s">
        <v>140</v>
      </c>
      <c r="C254">
        <v>6600</v>
      </c>
      <c r="D254" t="s">
        <v>74</v>
      </c>
      <c r="E254" t="s">
        <v>137</v>
      </c>
      <c r="F254" t="s">
        <v>43</v>
      </c>
      <c r="G254" t="str">
        <f t="shared" si="4"/>
        <v>DB 106Lustro weneckie</v>
      </c>
    </row>
    <row r="255" spans="1:7" x14ac:dyDescent="0.35">
      <c r="A255">
        <v>106</v>
      </c>
      <c r="B255" t="s">
        <v>140</v>
      </c>
      <c r="C255">
        <v>6800</v>
      </c>
      <c r="D255" t="s">
        <v>74</v>
      </c>
      <c r="E255" t="s">
        <v>137</v>
      </c>
      <c r="F255" t="s">
        <v>77</v>
      </c>
      <c r="G255" t="str">
        <f t="shared" si="4"/>
        <v>DB 106Mleczne</v>
      </c>
    </row>
    <row r="256" spans="1:7" x14ac:dyDescent="0.35">
      <c r="A256">
        <v>106</v>
      </c>
      <c r="B256" t="s">
        <v>140</v>
      </c>
      <c r="C256">
        <v>6800</v>
      </c>
      <c r="D256" t="s">
        <v>74</v>
      </c>
      <c r="E256" t="s">
        <v>137</v>
      </c>
      <c r="F256" t="s">
        <v>78</v>
      </c>
      <c r="G256" t="str">
        <f t="shared" si="4"/>
        <v>DB 106Piaskowane refleks</v>
      </c>
    </row>
    <row r="257" spans="1:7" x14ac:dyDescent="0.35">
      <c r="A257">
        <v>106</v>
      </c>
      <c r="B257" t="s">
        <v>140</v>
      </c>
      <c r="C257">
        <v>7300</v>
      </c>
      <c r="D257" t="s">
        <v>74</v>
      </c>
      <c r="E257" t="s">
        <v>137</v>
      </c>
      <c r="F257" t="s">
        <v>111</v>
      </c>
      <c r="G257" t="str">
        <f t="shared" si="4"/>
        <v>DB 106Witraz</v>
      </c>
    </row>
    <row r="258" spans="1:7" x14ac:dyDescent="0.35">
      <c r="A258">
        <v>106</v>
      </c>
      <c r="B258" t="s">
        <v>141</v>
      </c>
      <c r="C258">
        <v>6100</v>
      </c>
      <c r="D258" t="s">
        <v>74</v>
      </c>
      <c r="E258" t="s">
        <v>137</v>
      </c>
      <c r="F258" t="s">
        <v>97</v>
      </c>
      <c r="G258" t="str">
        <f t="shared" si="4"/>
        <v>DB 106aBrak (pełne)</v>
      </c>
    </row>
    <row r="259" spans="1:7" x14ac:dyDescent="0.35">
      <c r="A259">
        <v>106</v>
      </c>
      <c r="B259" t="s">
        <v>141</v>
      </c>
      <c r="C259">
        <v>6500</v>
      </c>
      <c r="D259" t="s">
        <v>74</v>
      </c>
      <c r="E259" t="s">
        <v>137</v>
      </c>
      <c r="F259" t="s">
        <v>827</v>
      </c>
      <c r="G259" t="str">
        <f t="shared" ref="G259" si="6">B259&amp;F259</f>
        <v>DB 106aPrzezierne</v>
      </c>
    </row>
    <row r="260" spans="1:7" x14ac:dyDescent="0.35">
      <c r="A260">
        <v>106</v>
      </c>
      <c r="B260" t="s">
        <v>141</v>
      </c>
      <c r="C260">
        <v>6500</v>
      </c>
      <c r="D260" t="s">
        <v>74</v>
      </c>
      <c r="E260" t="s">
        <v>137</v>
      </c>
      <c r="F260" t="s">
        <v>76</v>
      </c>
      <c r="G260" t="str">
        <f t="shared" si="4"/>
        <v>DB 106aBrąz refleks</v>
      </c>
    </row>
    <row r="261" spans="1:7" x14ac:dyDescent="0.35">
      <c r="A261">
        <v>106</v>
      </c>
      <c r="B261" t="s">
        <v>141</v>
      </c>
      <c r="C261">
        <v>6500</v>
      </c>
      <c r="D261" t="s">
        <v>74</v>
      </c>
      <c r="E261" t="s">
        <v>137</v>
      </c>
      <c r="F261" t="s">
        <v>8</v>
      </c>
      <c r="G261" t="str">
        <f t="shared" si="4"/>
        <v>DB 106aGrafit refleks</v>
      </c>
    </row>
    <row r="262" spans="1:7" x14ac:dyDescent="0.35">
      <c r="A262">
        <v>106</v>
      </c>
      <c r="B262" t="s">
        <v>141</v>
      </c>
      <c r="C262">
        <v>6500</v>
      </c>
      <c r="D262" t="s">
        <v>74</v>
      </c>
      <c r="E262" t="s">
        <v>137</v>
      </c>
      <c r="F262" t="s">
        <v>43</v>
      </c>
      <c r="G262" t="str">
        <f t="shared" si="4"/>
        <v>DB 106aLustro weneckie</v>
      </c>
    </row>
    <row r="263" spans="1:7" x14ac:dyDescent="0.35">
      <c r="A263">
        <v>106</v>
      </c>
      <c r="B263" t="s">
        <v>141</v>
      </c>
      <c r="C263">
        <v>6800</v>
      </c>
      <c r="D263" t="s">
        <v>74</v>
      </c>
      <c r="E263" t="s">
        <v>137</v>
      </c>
      <c r="F263" t="s">
        <v>77</v>
      </c>
      <c r="G263" t="str">
        <f t="shared" si="4"/>
        <v>DB 106aMleczne</v>
      </c>
    </row>
    <row r="264" spans="1:7" x14ac:dyDescent="0.35">
      <c r="A264">
        <v>106</v>
      </c>
      <c r="B264" t="s">
        <v>141</v>
      </c>
      <c r="C264">
        <v>6800</v>
      </c>
      <c r="D264" t="s">
        <v>74</v>
      </c>
      <c r="E264" t="s">
        <v>137</v>
      </c>
      <c r="F264" t="s">
        <v>78</v>
      </c>
      <c r="G264" t="str">
        <f t="shared" si="4"/>
        <v>DB 106aPiaskowane refleks</v>
      </c>
    </row>
    <row r="265" spans="1:7" x14ac:dyDescent="0.35">
      <c r="A265">
        <v>106</v>
      </c>
      <c r="B265" t="s">
        <v>141</v>
      </c>
      <c r="C265">
        <v>7300</v>
      </c>
      <c r="D265" t="s">
        <v>74</v>
      </c>
      <c r="E265" t="s">
        <v>137</v>
      </c>
      <c r="F265" t="s">
        <v>111</v>
      </c>
      <c r="G265" t="str">
        <f t="shared" si="4"/>
        <v>DB 106aWitraz</v>
      </c>
    </row>
    <row r="266" spans="1:7" x14ac:dyDescent="0.35">
      <c r="A266">
        <v>107</v>
      </c>
      <c r="B266" t="s">
        <v>142</v>
      </c>
      <c r="C266">
        <v>6100</v>
      </c>
      <c r="D266" t="s">
        <v>74</v>
      </c>
      <c r="E266" t="s">
        <v>137</v>
      </c>
      <c r="F266" t="s">
        <v>97</v>
      </c>
      <c r="G266" t="str">
        <f t="shared" si="4"/>
        <v>DB 107Brak (pełne)</v>
      </c>
    </row>
    <row r="267" spans="1:7" x14ac:dyDescent="0.35">
      <c r="A267">
        <v>108</v>
      </c>
      <c r="B267" t="s">
        <v>143</v>
      </c>
      <c r="C267">
        <v>6500</v>
      </c>
      <c r="D267" t="s">
        <v>74</v>
      </c>
      <c r="E267" t="s">
        <v>137</v>
      </c>
      <c r="F267" t="s">
        <v>827</v>
      </c>
      <c r="G267" t="str">
        <f t="shared" si="4"/>
        <v>DB 108Przezierne</v>
      </c>
    </row>
    <row r="268" spans="1:7" x14ac:dyDescent="0.35">
      <c r="A268">
        <v>108</v>
      </c>
      <c r="B268" t="s">
        <v>143</v>
      </c>
      <c r="C268">
        <v>6500</v>
      </c>
      <c r="D268" t="s">
        <v>74</v>
      </c>
      <c r="E268" t="s">
        <v>137</v>
      </c>
      <c r="F268" t="s">
        <v>76</v>
      </c>
      <c r="G268" t="str">
        <f t="shared" si="4"/>
        <v>DB 108Brąz refleks</v>
      </c>
    </row>
    <row r="269" spans="1:7" x14ac:dyDescent="0.35">
      <c r="A269">
        <v>108</v>
      </c>
      <c r="B269" t="s">
        <v>143</v>
      </c>
      <c r="C269">
        <v>6600</v>
      </c>
      <c r="D269" t="s">
        <v>74</v>
      </c>
      <c r="E269" t="s">
        <v>137</v>
      </c>
      <c r="F269" t="s">
        <v>8</v>
      </c>
      <c r="G269" t="str">
        <f t="shared" si="4"/>
        <v>DB 108Grafit refleks</v>
      </c>
    </row>
    <row r="270" spans="1:7" x14ac:dyDescent="0.35">
      <c r="A270">
        <v>108</v>
      </c>
      <c r="B270" t="s">
        <v>143</v>
      </c>
      <c r="C270">
        <v>6600</v>
      </c>
      <c r="D270" t="s">
        <v>74</v>
      </c>
      <c r="E270" t="s">
        <v>137</v>
      </c>
      <c r="F270" t="s">
        <v>43</v>
      </c>
      <c r="G270" t="str">
        <f t="shared" si="4"/>
        <v>DB 108Lustro weneckie</v>
      </c>
    </row>
    <row r="271" spans="1:7" x14ac:dyDescent="0.35">
      <c r="A271">
        <v>108</v>
      </c>
      <c r="B271" t="s">
        <v>143</v>
      </c>
      <c r="C271">
        <v>6800</v>
      </c>
      <c r="D271" t="s">
        <v>74</v>
      </c>
      <c r="E271" t="s">
        <v>137</v>
      </c>
      <c r="F271" t="s">
        <v>77</v>
      </c>
      <c r="G271" t="str">
        <f t="shared" si="4"/>
        <v>DB 108Mleczne</v>
      </c>
    </row>
    <row r="272" spans="1:7" x14ac:dyDescent="0.35">
      <c r="A272">
        <v>108</v>
      </c>
      <c r="B272" t="s">
        <v>143</v>
      </c>
      <c r="C272">
        <v>6800</v>
      </c>
      <c r="D272" t="s">
        <v>74</v>
      </c>
      <c r="E272" t="s">
        <v>137</v>
      </c>
      <c r="F272" t="s">
        <v>78</v>
      </c>
      <c r="G272" t="str">
        <f t="shared" si="4"/>
        <v>DB 108Piaskowane refleks</v>
      </c>
    </row>
    <row r="273" spans="1:7" x14ac:dyDescent="0.35">
      <c r="A273">
        <v>108</v>
      </c>
      <c r="B273" t="s">
        <v>143</v>
      </c>
      <c r="C273">
        <v>6800</v>
      </c>
      <c r="D273" t="s">
        <v>74</v>
      </c>
      <c r="E273" t="s">
        <v>137</v>
      </c>
      <c r="F273" t="s">
        <v>88</v>
      </c>
      <c r="G273" t="str">
        <f t="shared" si="4"/>
        <v>DB 108Brąz refleks wypukły</v>
      </c>
    </row>
    <row r="274" spans="1:7" x14ac:dyDescent="0.35">
      <c r="A274">
        <v>108</v>
      </c>
      <c r="B274" t="s">
        <v>143</v>
      </c>
      <c r="C274">
        <v>7300</v>
      </c>
      <c r="D274" t="s">
        <v>74</v>
      </c>
      <c r="E274" t="s">
        <v>137</v>
      </c>
      <c r="F274" t="s">
        <v>111</v>
      </c>
      <c r="G274" t="str">
        <f t="shared" si="4"/>
        <v>DB 108Witraz</v>
      </c>
    </row>
    <row r="275" spans="1:7" x14ac:dyDescent="0.35">
      <c r="A275">
        <v>151</v>
      </c>
      <c r="B275" t="s">
        <v>144</v>
      </c>
      <c r="C275">
        <v>6100</v>
      </c>
      <c r="D275" t="s">
        <v>74</v>
      </c>
      <c r="E275" t="s">
        <v>137</v>
      </c>
      <c r="F275" t="s">
        <v>827</v>
      </c>
      <c r="G275" t="str">
        <f t="shared" si="4"/>
        <v>DB 151Przezierne</v>
      </c>
    </row>
    <row r="276" spans="1:7" x14ac:dyDescent="0.35">
      <c r="A276">
        <v>151</v>
      </c>
      <c r="B276" t="s">
        <v>144</v>
      </c>
      <c r="C276">
        <v>6100</v>
      </c>
      <c r="D276" t="s">
        <v>74</v>
      </c>
      <c r="E276" t="s">
        <v>137</v>
      </c>
      <c r="F276" t="s">
        <v>76</v>
      </c>
      <c r="G276" t="str">
        <f t="shared" si="4"/>
        <v>DB 151Brąz refleks</v>
      </c>
    </row>
    <row r="277" spans="1:7" x14ac:dyDescent="0.35">
      <c r="A277">
        <v>151</v>
      </c>
      <c r="B277" t="s">
        <v>144</v>
      </c>
      <c r="C277">
        <v>6200</v>
      </c>
      <c r="D277" t="s">
        <v>74</v>
      </c>
      <c r="E277" t="s">
        <v>137</v>
      </c>
      <c r="F277" t="s">
        <v>8</v>
      </c>
      <c r="G277" t="str">
        <f t="shared" si="4"/>
        <v>DB 151Grafit refleks</v>
      </c>
    </row>
    <row r="278" spans="1:7" x14ac:dyDescent="0.35">
      <c r="A278">
        <v>151</v>
      </c>
      <c r="B278" t="s">
        <v>144</v>
      </c>
      <c r="C278">
        <v>6200</v>
      </c>
      <c r="D278" t="s">
        <v>74</v>
      </c>
      <c r="E278" t="s">
        <v>137</v>
      </c>
      <c r="F278" t="s">
        <v>43</v>
      </c>
      <c r="G278" t="str">
        <f t="shared" si="4"/>
        <v>DB 151Lustro weneckie</v>
      </c>
    </row>
    <row r="279" spans="1:7" x14ac:dyDescent="0.35">
      <c r="A279">
        <v>151</v>
      </c>
      <c r="B279" t="s">
        <v>144</v>
      </c>
      <c r="C279">
        <v>6300</v>
      </c>
      <c r="D279" t="s">
        <v>74</v>
      </c>
      <c r="E279" t="s">
        <v>137</v>
      </c>
      <c r="F279" t="s">
        <v>77</v>
      </c>
      <c r="G279" t="str">
        <f t="shared" si="4"/>
        <v>DB 151Mleczne</v>
      </c>
    </row>
    <row r="280" spans="1:7" x14ac:dyDescent="0.35">
      <c r="A280">
        <v>152</v>
      </c>
      <c r="B280" t="s">
        <v>145</v>
      </c>
      <c r="C280">
        <v>6100</v>
      </c>
      <c r="D280" t="s">
        <v>74</v>
      </c>
      <c r="E280" t="s">
        <v>137</v>
      </c>
      <c r="F280" t="s">
        <v>827</v>
      </c>
      <c r="G280" t="str">
        <f t="shared" si="4"/>
        <v>DB 152Przezierne</v>
      </c>
    </row>
    <row r="281" spans="1:7" x14ac:dyDescent="0.35">
      <c r="A281">
        <v>152</v>
      </c>
      <c r="B281" t="s">
        <v>145</v>
      </c>
      <c r="C281">
        <v>6100</v>
      </c>
      <c r="D281" t="s">
        <v>74</v>
      </c>
      <c r="E281" t="s">
        <v>137</v>
      </c>
      <c r="F281" t="s">
        <v>76</v>
      </c>
      <c r="G281" t="str">
        <f t="shared" si="4"/>
        <v>DB 152Brąz refleks</v>
      </c>
    </row>
    <row r="282" spans="1:7" x14ac:dyDescent="0.35">
      <c r="A282">
        <v>152</v>
      </c>
      <c r="B282" t="s">
        <v>145</v>
      </c>
      <c r="C282">
        <v>6200</v>
      </c>
      <c r="D282" t="s">
        <v>74</v>
      </c>
      <c r="E282" t="s">
        <v>137</v>
      </c>
      <c r="F282" t="s">
        <v>8</v>
      </c>
      <c r="G282" t="str">
        <f t="shared" si="4"/>
        <v>DB 152Grafit refleks</v>
      </c>
    </row>
    <row r="283" spans="1:7" x14ac:dyDescent="0.35">
      <c r="A283">
        <v>152</v>
      </c>
      <c r="B283" t="s">
        <v>145</v>
      </c>
      <c r="C283">
        <v>6200</v>
      </c>
      <c r="D283" t="s">
        <v>74</v>
      </c>
      <c r="E283" t="s">
        <v>137</v>
      </c>
      <c r="F283" t="s">
        <v>43</v>
      </c>
      <c r="G283" t="str">
        <f t="shared" si="4"/>
        <v>DB 152Lustro weneckie</v>
      </c>
    </row>
    <row r="284" spans="1:7" x14ac:dyDescent="0.35">
      <c r="A284">
        <v>152</v>
      </c>
      <c r="B284" t="s">
        <v>145</v>
      </c>
      <c r="C284">
        <v>6400</v>
      </c>
      <c r="D284" t="s">
        <v>74</v>
      </c>
      <c r="E284" t="s">
        <v>137</v>
      </c>
      <c r="F284" t="s">
        <v>77</v>
      </c>
      <c r="G284" t="str">
        <f t="shared" si="4"/>
        <v>DB 152Mleczne</v>
      </c>
    </row>
    <row r="285" spans="1:7" x14ac:dyDescent="0.35">
      <c r="A285">
        <v>153</v>
      </c>
      <c r="B285" t="s">
        <v>828</v>
      </c>
      <c r="C285">
        <v>6100</v>
      </c>
      <c r="D285" t="s">
        <v>74</v>
      </c>
      <c r="E285" t="s">
        <v>137</v>
      </c>
      <c r="F285" t="s">
        <v>827</v>
      </c>
      <c r="G285" t="str">
        <f t="shared" si="4"/>
        <v>DB 153aPrzezierne</v>
      </c>
    </row>
    <row r="286" spans="1:7" x14ac:dyDescent="0.35">
      <c r="A286">
        <v>153</v>
      </c>
      <c r="B286" t="s">
        <v>828</v>
      </c>
      <c r="C286">
        <v>6100</v>
      </c>
      <c r="D286" t="s">
        <v>74</v>
      </c>
      <c r="E286" t="s">
        <v>137</v>
      </c>
      <c r="F286" t="s">
        <v>76</v>
      </c>
      <c r="G286" t="str">
        <f t="shared" si="4"/>
        <v>DB 153aBrąz refleks</v>
      </c>
    </row>
    <row r="287" spans="1:7" x14ac:dyDescent="0.35">
      <c r="A287">
        <v>153</v>
      </c>
      <c r="B287" t="s">
        <v>828</v>
      </c>
      <c r="C287">
        <v>6200</v>
      </c>
      <c r="D287" t="s">
        <v>74</v>
      </c>
      <c r="E287" t="s">
        <v>137</v>
      </c>
      <c r="F287" t="s">
        <v>8</v>
      </c>
      <c r="G287" t="str">
        <f t="shared" si="4"/>
        <v>DB 153aGrafit refleks</v>
      </c>
    </row>
    <row r="288" spans="1:7" x14ac:dyDescent="0.35">
      <c r="A288">
        <v>153</v>
      </c>
      <c r="B288" t="s">
        <v>828</v>
      </c>
      <c r="C288">
        <v>6200</v>
      </c>
      <c r="D288" t="s">
        <v>74</v>
      </c>
      <c r="E288" t="s">
        <v>137</v>
      </c>
      <c r="F288" t="s">
        <v>43</v>
      </c>
      <c r="G288" t="str">
        <f t="shared" si="4"/>
        <v>DB 153aLustro weneckie</v>
      </c>
    </row>
    <row r="289" spans="1:7" x14ac:dyDescent="0.35">
      <c r="A289">
        <v>153</v>
      </c>
      <c r="B289" t="s">
        <v>828</v>
      </c>
      <c r="C289">
        <v>6400</v>
      </c>
      <c r="D289" t="s">
        <v>74</v>
      </c>
      <c r="E289" t="s">
        <v>137</v>
      </c>
      <c r="F289" t="s">
        <v>77</v>
      </c>
      <c r="G289" t="str">
        <f t="shared" si="4"/>
        <v>DB 153aMleczne</v>
      </c>
    </row>
    <row r="290" spans="1:7" x14ac:dyDescent="0.35">
      <c r="A290">
        <v>154</v>
      </c>
      <c r="B290" t="s">
        <v>146</v>
      </c>
      <c r="C290">
        <v>6100</v>
      </c>
      <c r="D290" t="s">
        <v>74</v>
      </c>
      <c r="E290" t="s">
        <v>137</v>
      </c>
      <c r="F290" t="s">
        <v>827</v>
      </c>
      <c r="G290" t="str">
        <f t="shared" si="4"/>
        <v>DB 154Przezierne</v>
      </c>
    </row>
    <row r="291" spans="1:7" x14ac:dyDescent="0.35">
      <c r="A291">
        <v>154</v>
      </c>
      <c r="B291" t="s">
        <v>146</v>
      </c>
      <c r="C291">
        <v>6100</v>
      </c>
      <c r="D291" t="s">
        <v>74</v>
      </c>
      <c r="E291" t="s">
        <v>137</v>
      </c>
      <c r="F291" t="s">
        <v>76</v>
      </c>
      <c r="G291" t="str">
        <f t="shared" si="4"/>
        <v>DB 154Brąz refleks</v>
      </c>
    </row>
    <row r="292" spans="1:7" x14ac:dyDescent="0.35">
      <c r="A292">
        <v>154</v>
      </c>
      <c r="B292" t="s">
        <v>146</v>
      </c>
      <c r="C292">
        <v>6200</v>
      </c>
      <c r="D292" t="s">
        <v>74</v>
      </c>
      <c r="E292" t="s">
        <v>137</v>
      </c>
      <c r="F292" t="s">
        <v>8</v>
      </c>
      <c r="G292" t="str">
        <f t="shared" si="4"/>
        <v>DB 154Grafit refleks</v>
      </c>
    </row>
    <row r="293" spans="1:7" x14ac:dyDescent="0.35">
      <c r="A293">
        <v>154</v>
      </c>
      <c r="B293" t="s">
        <v>146</v>
      </c>
      <c r="C293">
        <v>6200</v>
      </c>
      <c r="D293" t="s">
        <v>74</v>
      </c>
      <c r="E293" t="s">
        <v>137</v>
      </c>
      <c r="F293" t="s">
        <v>43</v>
      </c>
      <c r="G293" t="str">
        <f t="shared" si="4"/>
        <v>DB 154Lustro weneckie</v>
      </c>
    </row>
    <row r="294" spans="1:7" x14ac:dyDescent="0.35">
      <c r="A294">
        <v>154</v>
      </c>
      <c r="B294" t="s">
        <v>146</v>
      </c>
      <c r="C294">
        <v>6400</v>
      </c>
      <c r="D294" t="s">
        <v>74</v>
      </c>
      <c r="E294" t="s">
        <v>137</v>
      </c>
      <c r="F294" t="s">
        <v>77</v>
      </c>
      <c r="G294" t="str">
        <f t="shared" si="4"/>
        <v>DB 154Mleczne</v>
      </c>
    </row>
    <row r="295" spans="1:7" x14ac:dyDescent="0.35">
      <c r="A295">
        <v>157</v>
      </c>
      <c r="B295" t="s">
        <v>147</v>
      </c>
      <c r="C295">
        <v>6100</v>
      </c>
      <c r="D295" t="s">
        <v>74</v>
      </c>
      <c r="E295" t="s">
        <v>137</v>
      </c>
      <c r="F295" t="s">
        <v>827</v>
      </c>
      <c r="G295" t="str">
        <f t="shared" si="4"/>
        <v>DB 157Przezierne</v>
      </c>
    </row>
    <row r="296" spans="1:7" x14ac:dyDescent="0.35">
      <c r="A296">
        <v>157</v>
      </c>
      <c r="B296" t="s">
        <v>147</v>
      </c>
      <c r="C296">
        <v>6100</v>
      </c>
      <c r="D296" t="s">
        <v>74</v>
      </c>
      <c r="E296" t="s">
        <v>137</v>
      </c>
      <c r="F296" t="s">
        <v>76</v>
      </c>
      <c r="G296" t="str">
        <f t="shared" si="4"/>
        <v>DB 157Brąz refleks</v>
      </c>
    </row>
    <row r="297" spans="1:7" x14ac:dyDescent="0.35">
      <c r="A297">
        <v>157</v>
      </c>
      <c r="B297" t="s">
        <v>147</v>
      </c>
      <c r="C297">
        <v>6200</v>
      </c>
      <c r="D297" t="s">
        <v>74</v>
      </c>
      <c r="E297" t="s">
        <v>137</v>
      </c>
      <c r="F297" t="s">
        <v>8</v>
      </c>
      <c r="G297" t="str">
        <f t="shared" si="4"/>
        <v>DB 157Grafit refleks</v>
      </c>
    </row>
    <row r="298" spans="1:7" x14ac:dyDescent="0.35">
      <c r="A298">
        <v>157</v>
      </c>
      <c r="B298" t="s">
        <v>147</v>
      </c>
      <c r="C298">
        <v>6200</v>
      </c>
      <c r="D298" t="s">
        <v>74</v>
      </c>
      <c r="E298" t="s">
        <v>137</v>
      </c>
      <c r="F298" t="s">
        <v>43</v>
      </c>
      <c r="G298" t="str">
        <f t="shared" si="4"/>
        <v>DB 157Lustro weneckie</v>
      </c>
    </row>
    <row r="299" spans="1:7" x14ac:dyDescent="0.35">
      <c r="A299">
        <v>157</v>
      </c>
      <c r="B299" t="s">
        <v>147</v>
      </c>
      <c r="C299">
        <v>6400</v>
      </c>
      <c r="D299" t="s">
        <v>74</v>
      </c>
      <c r="E299" t="s">
        <v>137</v>
      </c>
      <c r="F299" t="s">
        <v>77</v>
      </c>
      <c r="G299" t="str">
        <f t="shared" si="4"/>
        <v>DB 157Mleczne</v>
      </c>
    </row>
    <row r="300" spans="1:7" x14ac:dyDescent="0.35">
      <c r="A300">
        <v>158</v>
      </c>
      <c r="B300" t="s">
        <v>148</v>
      </c>
      <c r="C300">
        <v>6100</v>
      </c>
      <c r="D300" t="s">
        <v>74</v>
      </c>
      <c r="E300" t="s">
        <v>137</v>
      </c>
      <c r="F300" t="s">
        <v>827</v>
      </c>
      <c r="G300" t="str">
        <f t="shared" si="4"/>
        <v>DB 158Przezierne</v>
      </c>
    </row>
    <row r="301" spans="1:7" x14ac:dyDescent="0.35">
      <c r="A301">
        <v>158</v>
      </c>
      <c r="B301" t="s">
        <v>148</v>
      </c>
      <c r="C301">
        <v>6100</v>
      </c>
      <c r="D301" t="s">
        <v>74</v>
      </c>
      <c r="E301" t="s">
        <v>137</v>
      </c>
      <c r="F301" t="s">
        <v>76</v>
      </c>
      <c r="G301" t="str">
        <f t="shared" si="4"/>
        <v>DB 158Brąz refleks</v>
      </c>
    </row>
    <row r="302" spans="1:7" x14ac:dyDescent="0.35">
      <c r="A302">
        <v>158</v>
      </c>
      <c r="B302" t="s">
        <v>148</v>
      </c>
      <c r="C302">
        <v>6200</v>
      </c>
      <c r="D302" t="s">
        <v>74</v>
      </c>
      <c r="E302" t="s">
        <v>137</v>
      </c>
      <c r="F302" t="s">
        <v>8</v>
      </c>
      <c r="G302" t="str">
        <f t="shared" si="4"/>
        <v>DB 158Grafit refleks</v>
      </c>
    </row>
    <row r="303" spans="1:7" x14ac:dyDescent="0.35">
      <c r="A303">
        <v>158</v>
      </c>
      <c r="B303" t="s">
        <v>148</v>
      </c>
      <c r="C303">
        <v>6200</v>
      </c>
      <c r="D303" t="s">
        <v>74</v>
      </c>
      <c r="E303" t="s">
        <v>137</v>
      </c>
      <c r="F303" t="s">
        <v>43</v>
      </c>
      <c r="G303" t="str">
        <f t="shared" si="4"/>
        <v>DB 158Lustro weneckie</v>
      </c>
    </row>
    <row r="304" spans="1:7" x14ac:dyDescent="0.35">
      <c r="A304">
        <v>158</v>
      </c>
      <c r="B304" t="s">
        <v>148</v>
      </c>
      <c r="C304">
        <v>6400</v>
      </c>
      <c r="D304" t="s">
        <v>74</v>
      </c>
      <c r="E304" t="s">
        <v>137</v>
      </c>
      <c r="F304" t="s">
        <v>77</v>
      </c>
      <c r="G304" t="str">
        <f t="shared" si="4"/>
        <v>DB 158Mleczne</v>
      </c>
    </row>
    <row r="305" spans="1:7" x14ac:dyDescent="0.35">
      <c r="A305">
        <v>159</v>
      </c>
      <c r="B305" t="s">
        <v>149</v>
      </c>
      <c r="C305">
        <v>6100</v>
      </c>
      <c r="D305" t="s">
        <v>74</v>
      </c>
      <c r="E305" t="s">
        <v>137</v>
      </c>
      <c r="F305" t="s">
        <v>827</v>
      </c>
      <c r="G305" t="str">
        <f t="shared" si="4"/>
        <v>DB 159Przezierne</v>
      </c>
    </row>
    <row r="306" spans="1:7" x14ac:dyDescent="0.35">
      <c r="A306">
        <v>159</v>
      </c>
      <c r="B306" t="s">
        <v>149</v>
      </c>
      <c r="C306">
        <v>6100</v>
      </c>
      <c r="D306" t="s">
        <v>74</v>
      </c>
      <c r="E306" t="s">
        <v>137</v>
      </c>
      <c r="F306" t="s">
        <v>76</v>
      </c>
      <c r="G306" t="str">
        <f t="shared" si="4"/>
        <v>DB 159Brąz refleks</v>
      </c>
    </row>
    <row r="307" spans="1:7" x14ac:dyDescent="0.35">
      <c r="A307">
        <v>159</v>
      </c>
      <c r="B307" t="s">
        <v>149</v>
      </c>
      <c r="C307">
        <v>6200</v>
      </c>
      <c r="D307" t="s">
        <v>74</v>
      </c>
      <c r="E307" t="s">
        <v>137</v>
      </c>
      <c r="F307" t="s">
        <v>8</v>
      </c>
      <c r="G307" t="str">
        <f t="shared" si="4"/>
        <v>DB 159Grafit refleks</v>
      </c>
    </row>
    <row r="308" spans="1:7" x14ac:dyDescent="0.35">
      <c r="A308">
        <v>159</v>
      </c>
      <c r="B308" t="s">
        <v>149</v>
      </c>
      <c r="C308">
        <v>6200</v>
      </c>
      <c r="D308" t="s">
        <v>74</v>
      </c>
      <c r="E308" t="s">
        <v>137</v>
      </c>
      <c r="F308" t="s">
        <v>43</v>
      </c>
      <c r="G308" t="str">
        <f t="shared" ref="G308:G369" si="7">B308&amp;F308</f>
        <v>DB 159Lustro weneckie</v>
      </c>
    </row>
    <row r="309" spans="1:7" x14ac:dyDescent="0.35">
      <c r="A309">
        <v>159</v>
      </c>
      <c r="B309" t="s">
        <v>149</v>
      </c>
      <c r="C309">
        <v>6400</v>
      </c>
      <c r="D309" t="s">
        <v>74</v>
      </c>
      <c r="E309" t="s">
        <v>137</v>
      </c>
      <c r="F309" t="s">
        <v>77</v>
      </c>
      <c r="G309" t="str">
        <f t="shared" si="7"/>
        <v>DB 159Mleczne</v>
      </c>
    </row>
    <row r="310" spans="1:7" x14ac:dyDescent="0.35">
      <c r="A310">
        <v>200</v>
      </c>
      <c r="B310" t="s">
        <v>150</v>
      </c>
      <c r="C310">
        <v>5400</v>
      </c>
      <c r="D310" t="s">
        <v>151</v>
      </c>
      <c r="E310" t="s">
        <v>152</v>
      </c>
      <c r="F310" t="s">
        <v>827</v>
      </c>
      <c r="G310" t="str">
        <f t="shared" si="7"/>
        <v>DB 200Przezierne</v>
      </c>
    </row>
    <row r="311" spans="1:7" x14ac:dyDescent="0.35">
      <c r="A311">
        <v>200</v>
      </c>
      <c r="B311" t="s">
        <v>150</v>
      </c>
      <c r="C311">
        <v>5400</v>
      </c>
      <c r="D311" t="s">
        <v>151</v>
      </c>
      <c r="E311" t="s">
        <v>152</v>
      </c>
      <c r="F311" t="s">
        <v>76</v>
      </c>
      <c r="G311" t="str">
        <f t="shared" si="7"/>
        <v>DB 200Brąz refleks</v>
      </c>
    </row>
    <row r="312" spans="1:7" x14ac:dyDescent="0.35">
      <c r="A312">
        <v>200</v>
      </c>
      <c r="B312" t="s">
        <v>150</v>
      </c>
      <c r="C312">
        <v>5500</v>
      </c>
      <c r="D312" t="s">
        <v>151</v>
      </c>
      <c r="E312" t="s">
        <v>152</v>
      </c>
      <c r="F312" t="s">
        <v>8</v>
      </c>
      <c r="G312" t="str">
        <f t="shared" si="7"/>
        <v>DB 200Grafit refleks</v>
      </c>
    </row>
    <row r="313" spans="1:7" x14ac:dyDescent="0.35">
      <c r="A313">
        <v>200</v>
      </c>
      <c r="B313" t="s">
        <v>150</v>
      </c>
      <c r="C313">
        <v>5500</v>
      </c>
      <c r="D313" t="s">
        <v>151</v>
      </c>
      <c r="E313" t="s">
        <v>152</v>
      </c>
      <c r="F313" t="s">
        <v>43</v>
      </c>
      <c r="G313" t="str">
        <f t="shared" si="7"/>
        <v>DB 200Lustro weneckie</v>
      </c>
    </row>
    <row r="314" spans="1:7" x14ac:dyDescent="0.35">
      <c r="A314">
        <v>200</v>
      </c>
      <c r="B314" t="s">
        <v>150</v>
      </c>
      <c r="C314">
        <v>5700</v>
      </c>
      <c r="D314" t="s">
        <v>151</v>
      </c>
      <c r="E314" t="s">
        <v>152</v>
      </c>
      <c r="F314" t="s">
        <v>77</v>
      </c>
      <c r="G314" t="str">
        <f t="shared" si="7"/>
        <v>DB 200Mleczne</v>
      </c>
    </row>
    <row r="315" spans="1:7" x14ac:dyDescent="0.35">
      <c r="A315">
        <v>200</v>
      </c>
      <c r="B315" t="s">
        <v>150</v>
      </c>
      <c r="C315">
        <v>5700</v>
      </c>
      <c r="D315" t="s">
        <v>151</v>
      </c>
      <c r="E315" t="s">
        <v>152</v>
      </c>
      <c r="F315" t="s">
        <v>78</v>
      </c>
      <c r="G315" t="str">
        <f t="shared" si="7"/>
        <v>DB 200Piaskowane refleks</v>
      </c>
    </row>
    <row r="316" spans="1:7" x14ac:dyDescent="0.35">
      <c r="A316">
        <v>200</v>
      </c>
      <c r="B316" t="s">
        <v>153</v>
      </c>
      <c r="C316">
        <v>5000</v>
      </c>
      <c r="D316" t="s">
        <v>151</v>
      </c>
      <c r="E316" t="s">
        <v>152</v>
      </c>
      <c r="F316" t="s">
        <v>97</v>
      </c>
      <c r="G316" t="str">
        <f t="shared" si="7"/>
        <v>DB 200aBrak (pełne)</v>
      </c>
    </row>
    <row r="317" spans="1:7" x14ac:dyDescent="0.35">
      <c r="A317">
        <v>202</v>
      </c>
      <c r="B317" t="s">
        <v>154</v>
      </c>
      <c r="C317">
        <v>5400</v>
      </c>
      <c r="D317" t="s">
        <v>151</v>
      </c>
      <c r="E317" t="s">
        <v>152</v>
      </c>
      <c r="F317" t="s">
        <v>827</v>
      </c>
      <c r="G317" t="str">
        <f t="shared" si="7"/>
        <v>DB 202aPrzezierne</v>
      </c>
    </row>
    <row r="318" spans="1:7" x14ac:dyDescent="0.35">
      <c r="A318">
        <v>202</v>
      </c>
      <c r="B318" t="s">
        <v>154</v>
      </c>
      <c r="C318">
        <v>5400</v>
      </c>
      <c r="D318" t="s">
        <v>151</v>
      </c>
      <c r="E318" t="s">
        <v>152</v>
      </c>
      <c r="F318" t="s">
        <v>76</v>
      </c>
      <c r="G318" t="str">
        <f t="shared" si="7"/>
        <v>DB 202aBrąz refleks</v>
      </c>
    </row>
    <row r="319" spans="1:7" x14ac:dyDescent="0.35">
      <c r="A319">
        <v>202</v>
      </c>
      <c r="B319" t="s">
        <v>154</v>
      </c>
      <c r="C319">
        <v>5500</v>
      </c>
      <c r="D319" t="s">
        <v>151</v>
      </c>
      <c r="E319" t="s">
        <v>152</v>
      </c>
      <c r="F319" t="s">
        <v>8</v>
      </c>
      <c r="G319" t="str">
        <f t="shared" si="7"/>
        <v>DB 202aGrafit refleks</v>
      </c>
    </row>
    <row r="320" spans="1:7" x14ac:dyDescent="0.35">
      <c r="A320">
        <v>202</v>
      </c>
      <c r="B320" t="s">
        <v>154</v>
      </c>
      <c r="C320">
        <v>5500</v>
      </c>
      <c r="D320" t="s">
        <v>151</v>
      </c>
      <c r="E320" t="s">
        <v>152</v>
      </c>
      <c r="F320" t="s">
        <v>43</v>
      </c>
      <c r="G320" t="str">
        <f t="shared" si="7"/>
        <v>DB 202aLustro weneckie</v>
      </c>
    </row>
    <row r="321" spans="1:7" x14ac:dyDescent="0.35">
      <c r="A321">
        <v>202</v>
      </c>
      <c r="B321" t="s">
        <v>154</v>
      </c>
      <c r="C321">
        <v>5700</v>
      </c>
      <c r="D321" t="s">
        <v>151</v>
      </c>
      <c r="E321" t="s">
        <v>152</v>
      </c>
      <c r="F321" t="s">
        <v>77</v>
      </c>
      <c r="G321" t="str">
        <f t="shared" si="7"/>
        <v>DB 202aMleczne</v>
      </c>
    </row>
    <row r="322" spans="1:7" x14ac:dyDescent="0.35">
      <c r="A322">
        <v>202</v>
      </c>
      <c r="B322" t="s">
        <v>154</v>
      </c>
      <c r="C322">
        <v>5700</v>
      </c>
      <c r="D322" t="s">
        <v>151</v>
      </c>
      <c r="E322" t="s">
        <v>152</v>
      </c>
      <c r="F322" t="s">
        <v>78</v>
      </c>
      <c r="G322" t="str">
        <f t="shared" si="7"/>
        <v>DB 202aPiaskowane refleks</v>
      </c>
    </row>
    <row r="323" spans="1:7" x14ac:dyDescent="0.35">
      <c r="A323">
        <v>202</v>
      </c>
      <c r="B323" t="s">
        <v>154</v>
      </c>
      <c r="C323">
        <v>6200</v>
      </c>
      <c r="D323" t="s">
        <v>151</v>
      </c>
      <c r="E323" t="s">
        <v>152</v>
      </c>
      <c r="F323" t="s">
        <v>111</v>
      </c>
      <c r="G323" t="str">
        <f t="shared" si="7"/>
        <v>DB 202aWitraz</v>
      </c>
    </row>
    <row r="324" spans="1:7" x14ac:dyDescent="0.35">
      <c r="A324">
        <v>203</v>
      </c>
      <c r="B324" t="s">
        <v>155</v>
      </c>
      <c r="C324">
        <v>5400</v>
      </c>
      <c r="D324" t="s">
        <v>151</v>
      </c>
      <c r="E324" t="s">
        <v>152</v>
      </c>
      <c r="F324" t="s">
        <v>827</v>
      </c>
      <c r="G324" t="str">
        <f t="shared" si="7"/>
        <v>DB 203aPrzezierne</v>
      </c>
    </row>
    <row r="325" spans="1:7" x14ac:dyDescent="0.35">
      <c r="A325">
        <v>203</v>
      </c>
      <c r="B325" t="s">
        <v>155</v>
      </c>
      <c r="C325">
        <v>5400</v>
      </c>
      <c r="D325" t="s">
        <v>151</v>
      </c>
      <c r="E325" t="s">
        <v>152</v>
      </c>
      <c r="F325" t="s">
        <v>76</v>
      </c>
      <c r="G325" t="str">
        <f t="shared" si="7"/>
        <v>DB 203aBrąz refleks</v>
      </c>
    </row>
    <row r="326" spans="1:7" x14ac:dyDescent="0.35">
      <c r="A326">
        <v>203</v>
      </c>
      <c r="B326" t="s">
        <v>155</v>
      </c>
      <c r="C326">
        <v>5500</v>
      </c>
      <c r="D326" t="s">
        <v>151</v>
      </c>
      <c r="E326" t="s">
        <v>152</v>
      </c>
      <c r="F326" t="s">
        <v>8</v>
      </c>
      <c r="G326" t="str">
        <f t="shared" si="7"/>
        <v>DB 203aGrafit refleks</v>
      </c>
    </row>
    <row r="327" spans="1:7" x14ac:dyDescent="0.35">
      <c r="A327">
        <v>203</v>
      </c>
      <c r="B327" t="s">
        <v>155</v>
      </c>
      <c r="C327">
        <v>5500</v>
      </c>
      <c r="D327" t="s">
        <v>151</v>
      </c>
      <c r="E327" t="s">
        <v>152</v>
      </c>
      <c r="F327" t="s">
        <v>43</v>
      </c>
      <c r="G327" t="str">
        <f t="shared" si="7"/>
        <v>DB 203aLustro weneckie</v>
      </c>
    </row>
    <row r="328" spans="1:7" x14ac:dyDescent="0.35">
      <c r="A328">
        <v>203</v>
      </c>
      <c r="B328" t="s">
        <v>155</v>
      </c>
      <c r="C328">
        <v>5700</v>
      </c>
      <c r="D328" t="s">
        <v>151</v>
      </c>
      <c r="E328" t="s">
        <v>152</v>
      </c>
      <c r="F328" t="s">
        <v>77</v>
      </c>
      <c r="G328" t="str">
        <f t="shared" si="7"/>
        <v>DB 203aMleczne</v>
      </c>
    </row>
    <row r="329" spans="1:7" x14ac:dyDescent="0.35">
      <c r="A329">
        <v>204</v>
      </c>
      <c r="B329" t="s">
        <v>156</v>
      </c>
      <c r="C329">
        <v>5400</v>
      </c>
      <c r="D329" t="s">
        <v>151</v>
      </c>
      <c r="E329" t="s">
        <v>152</v>
      </c>
      <c r="F329" t="s">
        <v>827</v>
      </c>
      <c r="G329" t="str">
        <f t="shared" si="7"/>
        <v>DB 204Przezierne</v>
      </c>
    </row>
    <row r="330" spans="1:7" x14ac:dyDescent="0.35">
      <c r="A330">
        <v>204</v>
      </c>
      <c r="B330" t="s">
        <v>156</v>
      </c>
      <c r="C330">
        <v>5400</v>
      </c>
      <c r="D330" t="s">
        <v>151</v>
      </c>
      <c r="E330" t="s">
        <v>152</v>
      </c>
      <c r="F330" t="s">
        <v>76</v>
      </c>
      <c r="G330" t="str">
        <f t="shared" si="7"/>
        <v>DB 204Brąz refleks</v>
      </c>
    </row>
    <row r="331" spans="1:7" x14ac:dyDescent="0.35">
      <c r="A331">
        <v>204</v>
      </c>
      <c r="B331" t="s">
        <v>156</v>
      </c>
      <c r="C331">
        <v>5500</v>
      </c>
      <c r="D331" t="s">
        <v>151</v>
      </c>
      <c r="E331" t="s">
        <v>152</v>
      </c>
      <c r="F331" t="s">
        <v>8</v>
      </c>
      <c r="G331" t="str">
        <f t="shared" si="7"/>
        <v>DB 204Grafit refleks</v>
      </c>
    </row>
    <row r="332" spans="1:7" x14ac:dyDescent="0.35">
      <c r="A332">
        <v>204</v>
      </c>
      <c r="B332" t="s">
        <v>156</v>
      </c>
      <c r="C332">
        <v>5500</v>
      </c>
      <c r="D332" t="s">
        <v>151</v>
      </c>
      <c r="E332" t="s">
        <v>152</v>
      </c>
      <c r="F332" t="s">
        <v>43</v>
      </c>
      <c r="G332" t="str">
        <f t="shared" si="7"/>
        <v>DB 204Lustro weneckie</v>
      </c>
    </row>
    <row r="333" spans="1:7" x14ac:dyDescent="0.35">
      <c r="A333">
        <v>204</v>
      </c>
      <c r="B333" t="s">
        <v>156</v>
      </c>
      <c r="C333">
        <v>5700</v>
      </c>
      <c r="D333" t="s">
        <v>151</v>
      </c>
      <c r="E333" t="s">
        <v>152</v>
      </c>
      <c r="F333" t="s">
        <v>77</v>
      </c>
      <c r="G333" t="str">
        <f t="shared" si="7"/>
        <v>DB 204Mleczne</v>
      </c>
    </row>
    <row r="334" spans="1:7" x14ac:dyDescent="0.35">
      <c r="A334">
        <v>204</v>
      </c>
      <c r="B334" t="s">
        <v>156</v>
      </c>
      <c r="C334">
        <v>5700</v>
      </c>
      <c r="D334" t="s">
        <v>151</v>
      </c>
      <c r="E334" t="s">
        <v>152</v>
      </c>
      <c r="F334" t="s">
        <v>78</v>
      </c>
      <c r="G334" t="str">
        <f t="shared" si="7"/>
        <v>DB 204Piaskowane refleks</v>
      </c>
    </row>
    <row r="335" spans="1:7" x14ac:dyDescent="0.35">
      <c r="A335">
        <v>204</v>
      </c>
      <c r="B335" t="s">
        <v>157</v>
      </c>
      <c r="C335">
        <v>5400</v>
      </c>
      <c r="D335" t="s">
        <v>151</v>
      </c>
      <c r="E335" t="s">
        <v>152</v>
      </c>
      <c r="F335" t="s">
        <v>827</v>
      </c>
      <c r="G335" t="str">
        <f t="shared" si="7"/>
        <v>DB 204aPrzezierne</v>
      </c>
    </row>
    <row r="336" spans="1:7" x14ac:dyDescent="0.35">
      <c r="A336">
        <v>204</v>
      </c>
      <c r="B336" t="s">
        <v>157</v>
      </c>
      <c r="C336">
        <v>5400</v>
      </c>
      <c r="D336" t="s">
        <v>151</v>
      </c>
      <c r="E336" t="s">
        <v>152</v>
      </c>
      <c r="F336" t="s">
        <v>76</v>
      </c>
      <c r="G336" t="str">
        <f t="shared" si="7"/>
        <v>DB 204aBrąz refleks</v>
      </c>
    </row>
    <row r="337" spans="1:7" x14ac:dyDescent="0.35">
      <c r="A337">
        <v>204</v>
      </c>
      <c r="B337" t="s">
        <v>157</v>
      </c>
      <c r="C337">
        <v>5500</v>
      </c>
      <c r="D337" t="s">
        <v>151</v>
      </c>
      <c r="E337" t="s">
        <v>152</v>
      </c>
      <c r="F337" t="s">
        <v>8</v>
      </c>
      <c r="G337" t="str">
        <f t="shared" si="7"/>
        <v>DB 204aGrafit refleks</v>
      </c>
    </row>
    <row r="338" spans="1:7" x14ac:dyDescent="0.35">
      <c r="A338">
        <v>204</v>
      </c>
      <c r="B338" t="s">
        <v>157</v>
      </c>
      <c r="C338">
        <v>5500</v>
      </c>
      <c r="D338" t="s">
        <v>151</v>
      </c>
      <c r="E338" t="s">
        <v>152</v>
      </c>
      <c r="F338" t="s">
        <v>43</v>
      </c>
      <c r="G338" t="str">
        <f t="shared" si="7"/>
        <v>DB 204aLustro weneckie</v>
      </c>
    </row>
    <row r="339" spans="1:7" x14ac:dyDescent="0.35">
      <c r="A339">
        <v>204</v>
      </c>
      <c r="B339" t="s">
        <v>157</v>
      </c>
      <c r="C339">
        <v>5700</v>
      </c>
      <c r="D339" t="s">
        <v>151</v>
      </c>
      <c r="E339" t="s">
        <v>152</v>
      </c>
      <c r="F339" t="s">
        <v>77</v>
      </c>
      <c r="G339" t="str">
        <f t="shared" si="7"/>
        <v>DB 204aMleczne</v>
      </c>
    </row>
    <row r="340" spans="1:7" x14ac:dyDescent="0.35">
      <c r="A340">
        <v>204</v>
      </c>
      <c r="B340" t="s">
        <v>157</v>
      </c>
      <c r="C340">
        <v>5700</v>
      </c>
      <c r="D340" t="s">
        <v>151</v>
      </c>
      <c r="E340" t="s">
        <v>152</v>
      </c>
      <c r="F340" t="s">
        <v>78</v>
      </c>
      <c r="G340" t="str">
        <f t="shared" si="7"/>
        <v>DB 204aPiaskowane refleks</v>
      </c>
    </row>
    <row r="341" spans="1:7" x14ac:dyDescent="0.35">
      <c r="A341">
        <v>204</v>
      </c>
      <c r="B341" t="s">
        <v>157</v>
      </c>
      <c r="C341">
        <v>6200</v>
      </c>
      <c r="D341" t="s">
        <v>151</v>
      </c>
      <c r="E341" t="s">
        <v>152</v>
      </c>
      <c r="F341" t="s">
        <v>111</v>
      </c>
      <c r="G341" t="str">
        <f t="shared" si="7"/>
        <v>DB 204aWitraz</v>
      </c>
    </row>
    <row r="342" spans="1:7" x14ac:dyDescent="0.35">
      <c r="A342">
        <v>205</v>
      </c>
      <c r="B342" t="s">
        <v>158</v>
      </c>
      <c r="C342">
        <v>5400</v>
      </c>
      <c r="D342" t="s">
        <v>151</v>
      </c>
      <c r="E342" t="s">
        <v>152</v>
      </c>
      <c r="F342" t="s">
        <v>827</v>
      </c>
      <c r="G342" t="str">
        <f t="shared" si="7"/>
        <v>DB 205aPrzezierne</v>
      </c>
    </row>
    <row r="343" spans="1:7" x14ac:dyDescent="0.35">
      <c r="A343">
        <v>205</v>
      </c>
      <c r="B343" t="s">
        <v>158</v>
      </c>
      <c r="C343">
        <v>5400</v>
      </c>
      <c r="D343" t="s">
        <v>151</v>
      </c>
      <c r="E343" t="s">
        <v>152</v>
      </c>
      <c r="F343" t="s">
        <v>76</v>
      </c>
      <c r="G343" t="str">
        <f t="shared" si="7"/>
        <v>DB 205aBrąz refleks</v>
      </c>
    </row>
    <row r="344" spans="1:7" x14ac:dyDescent="0.35">
      <c r="A344">
        <v>205</v>
      </c>
      <c r="B344" t="s">
        <v>158</v>
      </c>
      <c r="C344">
        <v>5500</v>
      </c>
      <c r="D344" t="s">
        <v>151</v>
      </c>
      <c r="E344" t="s">
        <v>152</v>
      </c>
      <c r="F344" t="s">
        <v>8</v>
      </c>
      <c r="G344" t="str">
        <f t="shared" si="7"/>
        <v>DB 205aGrafit refleks</v>
      </c>
    </row>
    <row r="345" spans="1:7" x14ac:dyDescent="0.35">
      <c r="A345">
        <v>205</v>
      </c>
      <c r="B345" t="s">
        <v>158</v>
      </c>
      <c r="C345">
        <v>5500</v>
      </c>
      <c r="D345" t="s">
        <v>151</v>
      </c>
      <c r="E345" t="s">
        <v>152</v>
      </c>
      <c r="F345" t="s">
        <v>43</v>
      </c>
      <c r="G345" t="str">
        <f t="shared" si="7"/>
        <v>DB 205aLustro weneckie</v>
      </c>
    </row>
    <row r="346" spans="1:7" x14ac:dyDescent="0.35">
      <c r="A346">
        <v>205</v>
      </c>
      <c r="B346" t="s">
        <v>158</v>
      </c>
      <c r="C346">
        <v>5700</v>
      </c>
      <c r="D346" t="s">
        <v>151</v>
      </c>
      <c r="E346" t="s">
        <v>152</v>
      </c>
      <c r="F346" t="s">
        <v>77</v>
      </c>
      <c r="G346" t="str">
        <f t="shared" si="7"/>
        <v>DB 205aMleczne</v>
      </c>
    </row>
    <row r="347" spans="1:7" x14ac:dyDescent="0.35">
      <c r="A347">
        <v>205</v>
      </c>
      <c r="B347" t="s">
        <v>158</v>
      </c>
      <c r="C347">
        <v>5700</v>
      </c>
      <c r="D347" t="s">
        <v>151</v>
      </c>
      <c r="E347" t="s">
        <v>152</v>
      </c>
      <c r="F347" t="s">
        <v>78</v>
      </c>
      <c r="G347" t="str">
        <f t="shared" si="7"/>
        <v>DB 205aPiaskowane refleks</v>
      </c>
    </row>
    <row r="348" spans="1:7" x14ac:dyDescent="0.35">
      <c r="A348">
        <v>206</v>
      </c>
      <c r="B348" t="s">
        <v>159</v>
      </c>
      <c r="C348">
        <v>5000</v>
      </c>
      <c r="D348" t="s">
        <v>151</v>
      </c>
      <c r="E348" t="s">
        <v>152</v>
      </c>
      <c r="F348" t="s">
        <v>97</v>
      </c>
      <c r="G348" t="str">
        <f t="shared" si="7"/>
        <v>DB 206aBrak (pełne)</v>
      </c>
    </row>
    <row r="349" spans="1:7" x14ac:dyDescent="0.35">
      <c r="A349">
        <v>207</v>
      </c>
      <c r="B349" t="s">
        <v>160</v>
      </c>
      <c r="C349">
        <v>5400</v>
      </c>
      <c r="D349" t="s">
        <v>151</v>
      </c>
      <c r="E349" t="s">
        <v>152</v>
      </c>
      <c r="F349" t="s">
        <v>827</v>
      </c>
      <c r="G349" t="str">
        <f t="shared" si="7"/>
        <v>DB 207Przezierne</v>
      </c>
    </row>
    <row r="350" spans="1:7" x14ac:dyDescent="0.35">
      <c r="A350">
        <v>207</v>
      </c>
      <c r="B350" t="s">
        <v>160</v>
      </c>
      <c r="C350">
        <v>5400</v>
      </c>
      <c r="D350" t="s">
        <v>151</v>
      </c>
      <c r="E350" t="s">
        <v>152</v>
      </c>
      <c r="F350" t="s">
        <v>76</v>
      </c>
      <c r="G350" t="str">
        <f t="shared" si="7"/>
        <v>DB 207Brąz refleks</v>
      </c>
    </row>
    <row r="351" spans="1:7" x14ac:dyDescent="0.35">
      <c r="A351">
        <v>207</v>
      </c>
      <c r="B351" t="s">
        <v>160</v>
      </c>
      <c r="C351">
        <v>5500</v>
      </c>
      <c r="D351" t="s">
        <v>151</v>
      </c>
      <c r="E351" t="s">
        <v>152</v>
      </c>
      <c r="F351" t="s">
        <v>8</v>
      </c>
      <c r="G351" t="str">
        <f t="shared" si="7"/>
        <v>DB 207Grafit refleks</v>
      </c>
    </row>
    <row r="352" spans="1:7" x14ac:dyDescent="0.35">
      <c r="A352">
        <v>207</v>
      </c>
      <c r="B352" t="s">
        <v>160</v>
      </c>
      <c r="C352">
        <v>5500</v>
      </c>
      <c r="D352" t="s">
        <v>151</v>
      </c>
      <c r="E352" t="s">
        <v>152</v>
      </c>
      <c r="F352" t="s">
        <v>43</v>
      </c>
      <c r="G352" t="str">
        <f t="shared" si="7"/>
        <v>DB 207Lustro weneckie</v>
      </c>
    </row>
    <row r="353" spans="1:7" x14ac:dyDescent="0.35">
      <c r="A353">
        <v>207</v>
      </c>
      <c r="B353" t="s">
        <v>160</v>
      </c>
      <c r="C353">
        <v>5700</v>
      </c>
      <c r="D353" t="s">
        <v>151</v>
      </c>
      <c r="E353" t="s">
        <v>152</v>
      </c>
      <c r="F353" t="s">
        <v>77</v>
      </c>
      <c r="G353" t="str">
        <f t="shared" si="7"/>
        <v>DB 207Mleczne</v>
      </c>
    </row>
    <row r="354" spans="1:7" x14ac:dyDescent="0.35">
      <c r="A354">
        <v>207</v>
      </c>
      <c r="B354" t="s">
        <v>160</v>
      </c>
      <c r="C354">
        <v>5700</v>
      </c>
      <c r="D354" t="s">
        <v>151</v>
      </c>
      <c r="E354" t="s">
        <v>152</v>
      </c>
      <c r="F354" t="s">
        <v>78</v>
      </c>
      <c r="G354" t="str">
        <f t="shared" si="7"/>
        <v>DB 207Piaskowane refleks</v>
      </c>
    </row>
    <row r="355" spans="1:7" x14ac:dyDescent="0.35">
      <c r="A355">
        <v>207</v>
      </c>
      <c r="B355" t="s">
        <v>161</v>
      </c>
      <c r="C355">
        <v>5400</v>
      </c>
      <c r="D355" t="s">
        <v>151</v>
      </c>
      <c r="E355" t="s">
        <v>152</v>
      </c>
      <c r="F355" t="s">
        <v>827</v>
      </c>
      <c r="G355" t="str">
        <f t="shared" si="7"/>
        <v>DB 207aPrzezierne</v>
      </c>
    </row>
    <row r="356" spans="1:7" x14ac:dyDescent="0.35">
      <c r="A356">
        <v>207</v>
      </c>
      <c r="B356" t="s">
        <v>161</v>
      </c>
      <c r="C356">
        <v>5400</v>
      </c>
      <c r="D356" t="s">
        <v>151</v>
      </c>
      <c r="E356" t="s">
        <v>152</v>
      </c>
      <c r="F356" t="s">
        <v>76</v>
      </c>
      <c r="G356" t="str">
        <f t="shared" si="7"/>
        <v>DB 207aBrąz refleks</v>
      </c>
    </row>
    <row r="357" spans="1:7" x14ac:dyDescent="0.35">
      <c r="A357">
        <v>207</v>
      </c>
      <c r="B357" t="s">
        <v>161</v>
      </c>
      <c r="C357">
        <v>5500</v>
      </c>
      <c r="D357" t="s">
        <v>151</v>
      </c>
      <c r="E357" t="s">
        <v>152</v>
      </c>
      <c r="F357" t="s">
        <v>8</v>
      </c>
      <c r="G357" t="str">
        <f t="shared" si="7"/>
        <v>DB 207aGrafit refleks</v>
      </c>
    </row>
    <row r="358" spans="1:7" x14ac:dyDescent="0.35">
      <c r="A358">
        <v>207</v>
      </c>
      <c r="B358" t="s">
        <v>161</v>
      </c>
      <c r="C358">
        <v>5500</v>
      </c>
      <c r="D358" t="s">
        <v>151</v>
      </c>
      <c r="E358" t="s">
        <v>152</v>
      </c>
      <c r="F358" t="s">
        <v>43</v>
      </c>
      <c r="G358" t="str">
        <f t="shared" si="7"/>
        <v>DB 207aLustro weneckie</v>
      </c>
    </row>
    <row r="359" spans="1:7" x14ac:dyDescent="0.35">
      <c r="A359">
        <v>207</v>
      </c>
      <c r="B359" t="s">
        <v>161</v>
      </c>
      <c r="C359">
        <v>5700</v>
      </c>
      <c r="D359" t="s">
        <v>151</v>
      </c>
      <c r="E359" t="s">
        <v>152</v>
      </c>
      <c r="F359" t="s">
        <v>77</v>
      </c>
      <c r="G359" t="str">
        <f t="shared" si="7"/>
        <v>DB 207aMleczne</v>
      </c>
    </row>
    <row r="360" spans="1:7" x14ac:dyDescent="0.35">
      <c r="A360">
        <v>207</v>
      </c>
      <c r="B360" t="s">
        <v>161</v>
      </c>
      <c r="C360">
        <v>5700</v>
      </c>
      <c r="D360" t="s">
        <v>151</v>
      </c>
      <c r="E360" t="s">
        <v>152</v>
      </c>
      <c r="F360" t="s">
        <v>78</v>
      </c>
      <c r="G360" t="str">
        <f t="shared" si="7"/>
        <v>DB 207aPiaskowane refleks</v>
      </c>
    </row>
    <row r="361" spans="1:7" x14ac:dyDescent="0.35">
      <c r="A361">
        <v>207</v>
      </c>
      <c r="B361" t="s">
        <v>161</v>
      </c>
      <c r="C361">
        <v>6200</v>
      </c>
      <c r="D361" t="s">
        <v>151</v>
      </c>
      <c r="E361" t="s">
        <v>152</v>
      </c>
      <c r="F361" t="s">
        <v>111</v>
      </c>
      <c r="G361" t="str">
        <f t="shared" si="7"/>
        <v>DB 207aWitraz</v>
      </c>
    </row>
    <row r="362" spans="1:7" x14ac:dyDescent="0.35">
      <c r="A362">
        <v>208</v>
      </c>
      <c r="B362" t="s">
        <v>162</v>
      </c>
      <c r="C362">
        <v>6200</v>
      </c>
      <c r="D362" t="s">
        <v>151</v>
      </c>
      <c r="E362" t="s">
        <v>152</v>
      </c>
      <c r="F362" t="s">
        <v>827</v>
      </c>
      <c r="G362" t="str">
        <f t="shared" si="7"/>
        <v>DB 208aPrzezierne</v>
      </c>
    </row>
    <row r="363" spans="1:7" x14ac:dyDescent="0.35">
      <c r="A363">
        <v>208</v>
      </c>
      <c r="B363" t="s">
        <v>162</v>
      </c>
      <c r="C363">
        <v>6200</v>
      </c>
      <c r="D363" t="s">
        <v>151</v>
      </c>
      <c r="E363" t="s">
        <v>152</v>
      </c>
      <c r="F363" t="s">
        <v>76</v>
      </c>
      <c r="G363" t="str">
        <f t="shared" si="7"/>
        <v>DB 208aBrąz refleks</v>
      </c>
    </row>
    <row r="364" spans="1:7" x14ac:dyDescent="0.35">
      <c r="A364">
        <v>208</v>
      </c>
      <c r="B364" t="s">
        <v>162</v>
      </c>
      <c r="C364">
        <v>6300</v>
      </c>
      <c r="D364" t="s">
        <v>151</v>
      </c>
      <c r="E364" t="s">
        <v>152</v>
      </c>
      <c r="F364" t="s">
        <v>8</v>
      </c>
      <c r="G364" t="str">
        <f t="shared" si="7"/>
        <v>DB 208aGrafit refleks</v>
      </c>
    </row>
    <row r="365" spans="1:7" x14ac:dyDescent="0.35">
      <c r="A365">
        <v>208</v>
      </c>
      <c r="B365" t="s">
        <v>162</v>
      </c>
      <c r="C365">
        <v>6300</v>
      </c>
      <c r="D365" t="s">
        <v>151</v>
      </c>
      <c r="E365" t="s">
        <v>152</v>
      </c>
      <c r="F365" t="s">
        <v>43</v>
      </c>
      <c r="G365" t="str">
        <f t="shared" si="7"/>
        <v>DB 208aLustro weneckie</v>
      </c>
    </row>
    <row r="366" spans="1:7" x14ac:dyDescent="0.35">
      <c r="A366">
        <v>208</v>
      </c>
      <c r="B366" t="s">
        <v>162</v>
      </c>
      <c r="C366">
        <v>6500</v>
      </c>
      <c r="D366" t="s">
        <v>151</v>
      </c>
      <c r="E366" t="s">
        <v>152</v>
      </c>
      <c r="F366" t="s">
        <v>77</v>
      </c>
      <c r="G366" t="str">
        <f t="shared" si="7"/>
        <v>DB 208aMleczne</v>
      </c>
    </row>
    <row r="367" spans="1:7" x14ac:dyDescent="0.35">
      <c r="A367">
        <v>208</v>
      </c>
      <c r="B367" t="s">
        <v>162</v>
      </c>
      <c r="C367">
        <v>6500</v>
      </c>
      <c r="D367" t="s">
        <v>151</v>
      </c>
      <c r="E367" t="s">
        <v>152</v>
      </c>
      <c r="F367" t="s">
        <v>78</v>
      </c>
      <c r="G367" t="str">
        <f t="shared" si="7"/>
        <v>DB 208aPiaskowane refleks</v>
      </c>
    </row>
    <row r="368" spans="1:7" x14ac:dyDescent="0.35">
      <c r="A368">
        <v>209</v>
      </c>
      <c r="B368" t="s">
        <v>163</v>
      </c>
      <c r="C368">
        <v>6200</v>
      </c>
      <c r="D368" t="s">
        <v>151</v>
      </c>
      <c r="E368" t="s">
        <v>152</v>
      </c>
      <c r="F368" t="s">
        <v>827</v>
      </c>
      <c r="G368" t="str">
        <f t="shared" si="7"/>
        <v>DB 209aPrzezierne</v>
      </c>
    </row>
    <row r="369" spans="1:7" x14ac:dyDescent="0.35">
      <c r="A369">
        <v>209</v>
      </c>
      <c r="B369" t="s">
        <v>163</v>
      </c>
      <c r="C369">
        <v>6200</v>
      </c>
      <c r="D369" t="s">
        <v>151</v>
      </c>
      <c r="E369" t="s">
        <v>152</v>
      </c>
      <c r="F369" t="s">
        <v>76</v>
      </c>
      <c r="G369" t="str">
        <f t="shared" si="7"/>
        <v>DB 209aBrąz refleks</v>
      </c>
    </row>
    <row r="370" spans="1:7" x14ac:dyDescent="0.35">
      <c r="A370">
        <v>209</v>
      </c>
      <c r="B370" t="s">
        <v>163</v>
      </c>
      <c r="C370">
        <v>6300</v>
      </c>
      <c r="D370" t="s">
        <v>151</v>
      </c>
      <c r="E370" t="s">
        <v>152</v>
      </c>
      <c r="F370" t="s">
        <v>8</v>
      </c>
      <c r="G370" t="str">
        <f t="shared" ref="G370:G423" si="8">B370&amp;F370</f>
        <v>DB 209aGrafit refleks</v>
      </c>
    </row>
    <row r="371" spans="1:7" x14ac:dyDescent="0.35">
      <c r="A371">
        <v>209</v>
      </c>
      <c r="B371" t="s">
        <v>163</v>
      </c>
      <c r="C371">
        <v>6300</v>
      </c>
      <c r="D371" t="s">
        <v>151</v>
      </c>
      <c r="E371" t="s">
        <v>152</v>
      </c>
      <c r="F371" t="s">
        <v>43</v>
      </c>
      <c r="G371" t="str">
        <f t="shared" si="8"/>
        <v>DB 209aLustro weneckie</v>
      </c>
    </row>
    <row r="372" spans="1:7" x14ac:dyDescent="0.35">
      <c r="A372">
        <v>209</v>
      </c>
      <c r="B372" t="s">
        <v>163</v>
      </c>
      <c r="C372">
        <v>6500</v>
      </c>
      <c r="D372" t="s">
        <v>151</v>
      </c>
      <c r="E372" t="s">
        <v>152</v>
      </c>
      <c r="F372" t="s">
        <v>77</v>
      </c>
      <c r="G372" t="str">
        <f t="shared" si="8"/>
        <v>DB 209aMleczne</v>
      </c>
    </row>
    <row r="373" spans="1:7" x14ac:dyDescent="0.35">
      <c r="A373">
        <v>209</v>
      </c>
      <c r="B373" t="s">
        <v>163</v>
      </c>
      <c r="C373">
        <v>6500</v>
      </c>
      <c r="D373" t="s">
        <v>151</v>
      </c>
      <c r="E373" t="s">
        <v>152</v>
      </c>
      <c r="F373" t="s">
        <v>78</v>
      </c>
      <c r="G373" t="str">
        <f t="shared" si="8"/>
        <v>DB 209aPiaskowane refleks</v>
      </c>
    </row>
    <row r="374" spans="1:7" x14ac:dyDescent="0.35">
      <c r="A374">
        <v>209</v>
      </c>
      <c r="B374" t="s">
        <v>163</v>
      </c>
      <c r="C374">
        <v>7000</v>
      </c>
      <c r="D374" t="s">
        <v>151</v>
      </c>
      <c r="E374" t="s">
        <v>152</v>
      </c>
      <c r="F374" t="s">
        <v>111</v>
      </c>
      <c r="G374" t="str">
        <f t="shared" si="8"/>
        <v>DB 209aWitraz</v>
      </c>
    </row>
    <row r="375" spans="1:7" x14ac:dyDescent="0.35">
      <c r="A375">
        <v>210</v>
      </c>
      <c r="B375" t="s">
        <v>164</v>
      </c>
      <c r="C375">
        <v>5600</v>
      </c>
      <c r="D375" t="s">
        <v>151</v>
      </c>
      <c r="E375" t="s">
        <v>152</v>
      </c>
      <c r="F375" t="s">
        <v>827</v>
      </c>
      <c r="G375" t="str">
        <f t="shared" si="8"/>
        <v>DB 210aPrzezierne</v>
      </c>
    </row>
    <row r="376" spans="1:7" x14ac:dyDescent="0.35">
      <c r="A376">
        <v>210</v>
      </c>
      <c r="B376" t="s">
        <v>164</v>
      </c>
      <c r="C376">
        <v>5600</v>
      </c>
      <c r="D376" t="s">
        <v>151</v>
      </c>
      <c r="E376" t="s">
        <v>152</v>
      </c>
      <c r="F376" t="s">
        <v>76</v>
      </c>
      <c r="G376" t="str">
        <f t="shared" si="8"/>
        <v>DB 210aBrąz refleks</v>
      </c>
    </row>
    <row r="377" spans="1:7" x14ac:dyDescent="0.35">
      <c r="A377">
        <v>210</v>
      </c>
      <c r="B377" t="s">
        <v>164</v>
      </c>
      <c r="C377">
        <v>5700</v>
      </c>
      <c r="D377" t="s">
        <v>151</v>
      </c>
      <c r="E377" t="s">
        <v>152</v>
      </c>
      <c r="F377" t="s">
        <v>8</v>
      </c>
      <c r="G377" t="str">
        <f t="shared" si="8"/>
        <v>DB 210aGrafit refleks</v>
      </c>
    </row>
    <row r="378" spans="1:7" x14ac:dyDescent="0.35">
      <c r="A378">
        <v>210</v>
      </c>
      <c r="B378" t="s">
        <v>164</v>
      </c>
      <c r="C378">
        <v>5700</v>
      </c>
      <c r="D378" t="s">
        <v>151</v>
      </c>
      <c r="E378" t="s">
        <v>152</v>
      </c>
      <c r="F378" t="s">
        <v>43</v>
      </c>
      <c r="G378" t="str">
        <f t="shared" si="8"/>
        <v>DB 210aLustro weneckie</v>
      </c>
    </row>
    <row r="379" spans="1:7" x14ac:dyDescent="0.35">
      <c r="A379">
        <v>210</v>
      </c>
      <c r="B379" t="s">
        <v>164</v>
      </c>
      <c r="C379">
        <v>5900</v>
      </c>
      <c r="D379" t="s">
        <v>151</v>
      </c>
      <c r="E379" t="s">
        <v>152</v>
      </c>
      <c r="F379" t="s">
        <v>77</v>
      </c>
      <c r="G379" t="str">
        <f t="shared" si="8"/>
        <v>DB 210aMleczne</v>
      </c>
    </row>
    <row r="380" spans="1:7" x14ac:dyDescent="0.35">
      <c r="A380">
        <v>210</v>
      </c>
      <c r="B380" t="s">
        <v>164</v>
      </c>
      <c r="C380">
        <v>5900</v>
      </c>
      <c r="D380" t="s">
        <v>151</v>
      </c>
      <c r="E380" t="s">
        <v>152</v>
      </c>
      <c r="F380" t="s">
        <v>78</v>
      </c>
      <c r="G380" t="str">
        <f t="shared" si="8"/>
        <v>DB 210aPiaskowane refleks</v>
      </c>
    </row>
    <row r="381" spans="1:7" x14ac:dyDescent="0.35">
      <c r="A381">
        <v>211</v>
      </c>
      <c r="B381" t="s">
        <v>165</v>
      </c>
      <c r="C381">
        <v>5400</v>
      </c>
      <c r="D381" t="s">
        <v>151</v>
      </c>
      <c r="E381" t="s">
        <v>152</v>
      </c>
      <c r="F381" t="s">
        <v>827</v>
      </c>
      <c r="G381" t="str">
        <f t="shared" si="8"/>
        <v>DB 211Przezierne</v>
      </c>
    </row>
    <row r="382" spans="1:7" x14ac:dyDescent="0.35">
      <c r="A382">
        <v>211</v>
      </c>
      <c r="B382" t="s">
        <v>165</v>
      </c>
      <c r="C382">
        <v>5400</v>
      </c>
      <c r="D382" t="s">
        <v>151</v>
      </c>
      <c r="E382" t="s">
        <v>152</v>
      </c>
      <c r="F382" t="s">
        <v>76</v>
      </c>
      <c r="G382" t="str">
        <f t="shared" si="8"/>
        <v>DB 211Brąz refleks</v>
      </c>
    </row>
    <row r="383" spans="1:7" x14ac:dyDescent="0.35">
      <c r="A383">
        <v>211</v>
      </c>
      <c r="B383" t="s">
        <v>165</v>
      </c>
      <c r="C383">
        <v>5500</v>
      </c>
      <c r="D383" t="s">
        <v>151</v>
      </c>
      <c r="E383" t="s">
        <v>152</v>
      </c>
      <c r="F383" t="s">
        <v>8</v>
      </c>
      <c r="G383" t="str">
        <f t="shared" si="8"/>
        <v>DB 211Grafit refleks</v>
      </c>
    </row>
    <row r="384" spans="1:7" x14ac:dyDescent="0.35">
      <c r="A384">
        <v>211</v>
      </c>
      <c r="B384" t="s">
        <v>165</v>
      </c>
      <c r="C384">
        <v>5500</v>
      </c>
      <c r="D384" t="s">
        <v>151</v>
      </c>
      <c r="E384" t="s">
        <v>152</v>
      </c>
      <c r="F384" t="s">
        <v>43</v>
      </c>
      <c r="G384" t="str">
        <f t="shared" si="8"/>
        <v>DB 211Lustro weneckie</v>
      </c>
    </row>
    <row r="385" spans="1:7" x14ac:dyDescent="0.35">
      <c r="A385">
        <v>211</v>
      </c>
      <c r="B385" t="s">
        <v>165</v>
      </c>
      <c r="C385">
        <v>5700</v>
      </c>
      <c r="D385" t="s">
        <v>151</v>
      </c>
      <c r="E385" t="s">
        <v>152</v>
      </c>
      <c r="F385" t="s">
        <v>77</v>
      </c>
      <c r="G385" t="str">
        <f t="shared" si="8"/>
        <v>DB 211Mleczne</v>
      </c>
    </row>
    <row r="386" spans="1:7" x14ac:dyDescent="0.35">
      <c r="A386">
        <v>211</v>
      </c>
      <c r="B386" t="s">
        <v>166</v>
      </c>
      <c r="C386">
        <v>6200</v>
      </c>
      <c r="D386" t="s">
        <v>151</v>
      </c>
      <c r="E386" t="s">
        <v>152</v>
      </c>
      <c r="F386" t="s">
        <v>827</v>
      </c>
      <c r="G386" t="str">
        <f t="shared" si="8"/>
        <v>DB 211aPrzezierne</v>
      </c>
    </row>
    <row r="387" spans="1:7" x14ac:dyDescent="0.35">
      <c r="A387">
        <v>211</v>
      </c>
      <c r="B387" t="s">
        <v>166</v>
      </c>
      <c r="C387">
        <v>6200</v>
      </c>
      <c r="D387" t="s">
        <v>151</v>
      </c>
      <c r="E387" t="s">
        <v>152</v>
      </c>
      <c r="F387" t="s">
        <v>76</v>
      </c>
      <c r="G387" t="str">
        <f t="shared" si="8"/>
        <v>DB 211aBrąz refleks</v>
      </c>
    </row>
    <row r="388" spans="1:7" x14ac:dyDescent="0.35">
      <c r="A388">
        <v>211</v>
      </c>
      <c r="B388" t="s">
        <v>166</v>
      </c>
      <c r="C388">
        <v>6300</v>
      </c>
      <c r="D388" t="s">
        <v>151</v>
      </c>
      <c r="E388" t="s">
        <v>152</v>
      </c>
      <c r="F388" t="s">
        <v>8</v>
      </c>
      <c r="G388" t="str">
        <f t="shared" si="8"/>
        <v>DB 211aGrafit refleks</v>
      </c>
    </row>
    <row r="389" spans="1:7" x14ac:dyDescent="0.35">
      <c r="A389">
        <v>211</v>
      </c>
      <c r="B389" t="s">
        <v>166</v>
      </c>
      <c r="C389">
        <v>6300</v>
      </c>
      <c r="D389" t="s">
        <v>151</v>
      </c>
      <c r="E389" t="s">
        <v>152</v>
      </c>
      <c r="F389" t="s">
        <v>43</v>
      </c>
      <c r="G389" t="str">
        <f t="shared" si="8"/>
        <v>DB 211aLustro weneckie</v>
      </c>
    </row>
    <row r="390" spans="1:7" x14ac:dyDescent="0.35">
      <c r="A390">
        <v>211</v>
      </c>
      <c r="B390" t="s">
        <v>166</v>
      </c>
      <c r="C390">
        <v>6500</v>
      </c>
      <c r="D390" t="s">
        <v>151</v>
      </c>
      <c r="E390" t="s">
        <v>152</v>
      </c>
      <c r="F390" t="s">
        <v>77</v>
      </c>
      <c r="G390" t="str">
        <f t="shared" si="8"/>
        <v>DB 211aMleczne</v>
      </c>
    </row>
    <row r="391" spans="1:7" x14ac:dyDescent="0.35">
      <c r="A391">
        <v>211</v>
      </c>
      <c r="B391" t="s">
        <v>166</v>
      </c>
      <c r="C391">
        <v>6500</v>
      </c>
      <c r="D391" t="s">
        <v>151</v>
      </c>
      <c r="E391" t="s">
        <v>152</v>
      </c>
      <c r="F391" t="s">
        <v>78</v>
      </c>
      <c r="G391" t="str">
        <f t="shared" si="8"/>
        <v>DB 211aPiaskowane refleks</v>
      </c>
    </row>
    <row r="392" spans="1:7" x14ac:dyDescent="0.35">
      <c r="A392">
        <v>211</v>
      </c>
      <c r="B392" t="s">
        <v>166</v>
      </c>
      <c r="C392">
        <v>7000</v>
      </c>
      <c r="D392" t="s">
        <v>151</v>
      </c>
      <c r="E392" t="s">
        <v>152</v>
      </c>
      <c r="F392" t="s">
        <v>111</v>
      </c>
      <c r="G392" t="str">
        <f t="shared" si="8"/>
        <v>DB 211aWitraz</v>
      </c>
    </row>
    <row r="393" spans="1:7" x14ac:dyDescent="0.35">
      <c r="A393">
        <v>212</v>
      </c>
      <c r="B393" t="s">
        <v>167</v>
      </c>
      <c r="C393">
        <v>5400</v>
      </c>
      <c r="D393" t="s">
        <v>151</v>
      </c>
      <c r="E393" t="s">
        <v>152</v>
      </c>
      <c r="F393" t="s">
        <v>827</v>
      </c>
      <c r="G393" t="str">
        <f t="shared" si="8"/>
        <v>DB 212aPrzezierne</v>
      </c>
    </row>
    <row r="394" spans="1:7" x14ac:dyDescent="0.35">
      <c r="A394">
        <v>212</v>
      </c>
      <c r="B394" t="s">
        <v>167</v>
      </c>
      <c r="C394">
        <v>5400</v>
      </c>
      <c r="D394" t="s">
        <v>151</v>
      </c>
      <c r="E394" t="s">
        <v>152</v>
      </c>
      <c r="F394" t="s">
        <v>76</v>
      </c>
      <c r="G394" t="str">
        <f t="shared" si="8"/>
        <v>DB 212aBrąz refleks</v>
      </c>
    </row>
    <row r="395" spans="1:7" x14ac:dyDescent="0.35">
      <c r="A395">
        <v>212</v>
      </c>
      <c r="B395" t="s">
        <v>167</v>
      </c>
      <c r="C395">
        <v>5500</v>
      </c>
      <c r="D395" t="s">
        <v>151</v>
      </c>
      <c r="E395" t="s">
        <v>152</v>
      </c>
      <c r="F395" t="s">
        <v>8</v>
      </c>
      <c r="G395" t="str">
        <f t="shared" si="8"/>
        <v>DB 212aGrafit refleks</v>
      </c>
    </row>
    <row r="396" spans="1:7" x14ac:dyDescent="0.35">
      <c r="A396">
        <v>212</v>
      </c>
      <c r="B396" t="s">
        <v>167</v>
      </c>
      <c r="C396">
        <v>5500</v>
      </c>
      <c r="D396" t="s">
        <v>151</v>
      </c>
      <c r="E396" t="s">
        <v>152</v>
      </c>
      <c r="F396" t="s">
        <v>43</v>
      </c>
      <c r="G396" t="str">
        <f t="shared" si="8"/>
        <v>DB 212aLustro weneckie</v>
      </c>
    </row>
    <row r="397" spans="1:7" x14ac:dyDescent="0.35">
      <c r="A397">
        <v>212</v>
      </c>
      <c r="B397" t="s">
        <v>167</v>
      </c>
      <c r="C397">
        <v>5700</v>
      </c>
      <c r="D397" t="s">
        <v>151</v>
      </c>
      <c r="E397" t="s">
        <v>152</v>
      </c>
      <c r="F397" t="s">
        <v>77</v>
      </c>
      <c r="G397" t="str">
        <f t="shared" si="8"/>
        <v>DB 212aMleczne</v>
      </c>
    </row>
    <row r="398" spans="1:7" x14ac:dyDescent="0.35">
      <c r="A398">
        <v>212</v>
      </c>
      <c r="B398" t="s">
        <v>167</v>
      </c>
      <c r="C398">
        <v>5700</v>
      </c>
      <c r="D398" t="s">
        <v>151</v>
      </c>
      <c r="E398" t="s">
        <v>152</v>
      </c>
      <c r="F398" t="s">
        <v>78</v>
      </c>
      <c r="G398" t="str">
        <f t="shared" si="8"/>
        <v>DB 212aPiaskowane refleks</v>
      </c>
    </row>
    <row r="399" spans="1:7" x14ac:dyDescent="0.35">
      <c r="A399">
        <v>213</v>
      </c>
      <c r="B399" t="s">
        <v>168</v>
      </c>
      <c r="C399">
        <v>6200</v>
      </c>
      <c r="D399" t="s">
        <v>151</v>
      </c>
      <c r="E399" t="s">
        <v>152</v>
      </c>
      <c r="F399" t="s">
        <v>827</v>
      </c>
      <c r="G399" t="str">
        <f t="shared" si="8"/>
        <v>DB 213aPrzezierne</v>
      </c>
    </row>
    <row r="400" spans="1:7" x14ac:dyDescent="0.35">
      <c r="A400">
        <v>213</v>
      </c>
      <c r="B400" t="s">
        <v>168</v>
      </c>
      <c r="C400">
        <v>6200</v>
      </c>
      <c r="D400" t="s">
        <v>151</v>
      </c>
      <c r="E400" t="s">
        <v>152</v>
      </c>
      <c r="F400" t="s">
        <v>76</v>
      </c>
      <c r="G400" t="str">
        <f t="shared" si="8"/>
        <v>DB 213aBrąz refleks</v>
      </c>
    </row>
    <row r="401" spans="1:7" x14ac:dyDescent="0.35">
      <c r="A401">
        <v>213</v>
      </c>
      <c r="B401" t="s">
        <v>168</v>
      </c>
      <c r="C401">
        <v>6300</v>
      </c>
      <c r="D401" t="s">
        <v>151</v>
      </c>
      <c r="E401" t="s">
        <v>152</v>
      </c>
      <c r="F401" t="s">
        <v>8</v>
      </c>
      <c r="G401" t="str">
        <f t="shared" si="8"/>
        <v>DB 213aGrafit refleks</v>
      </c>
    </row>
    <row r="402" spans="1:7" x14ac:dyDescent="0.35">
      <c r="A402">
        <v>213</v>
      </c>
      <c r="B402" t="s">
        <v>168</v>
      </c>
      <c r="C402">
        <v>6300</v>
      </c>
      <c r="D402" t="s">
        <v>151</v>
      </c>
      <c r="E402" t="s">
        <v>152</v>
      </c>
      <c r="F402" t="s">
        <v>43</v>
      </c>
      <c r="G402" t="str">
        <f t="shared" si="8"/>
        <v>DB 213aLustro weneckie</v>
      </c>
    </row>
    <row r="403" spans="1:7" x14ac:dyDescent="0.35">
      <c r="A403">
        <v>213</v>
      </c>
      <c r="B403" t="s">
        <v>168</v>
      </c>
      <c r="C403">
        <v>6500</v>
      </c>
      <c r="D403" t="s">
        <v>151</v>
      </c>
      <c r="E403" t="s">
        <v>152</v>
      </c>
      <c r="F403" t="s">
        <v>77</v>
      </c>
      <c r="G403" t="str">
        <f t="shared" si="8"/>
        <v>DB 213aMleczne</v>
      </c>
    </row>
    <row r="404" spans="1:7" x14ac:dyDescent="0.35">
      <c r="A404">
        <v>213</v>
      </c>
      <c r="B404" t="s">
        <v>168</v>
      </c>
      <c r="C404">
        <v>6500</v>
      </c>
      <c r="D404" t="s">
        <v>151</v>
      </c>
      <c r="E404" t="s">
        <v>152</v>
      </c>
      <c r="F404" t="s">
        <v>78</v>
      </c>
      <c r="G404" t="str">
        <f t="shared" si="8"/>
        <v>DB 213aPiaskowane refleks</v>
      </c>
    </row>
    <row r="405" spans="1:7" x14ac:dyDescent="0.35">
      <c r="A405">
        <v>213</v>
      </c>
      <c r="B405" t="s">
        <v>168</v>
      </c>
      <c r="C405">
        <v>7000</v>
      </c>
      <c r="D405" t="s">
        <v>151</v>
      </c>
      <c r="E405" t="s">
        <v>152</v>
      </c>
      <c r="F405" t="s">
        <v>111</v>
      </c>
      <c r="G405" t="str">
        <f t="shared" si="8"/>
        <v>DB 213aWitraz</v>
      </c>
    </row>
    <row r="406" spans="1:7" x14ac:dyDescent="0.35">
      <c r="A406">
        <v>214</v>
      </c>
      <c r="B406" t="s">
        <v>169</v>
      </c>
      <c r="C406">
        <v>5000</v>
      </c>
      <c r="D406" t="s">
        <v>151</v>
      </c>
      <c r="E406" t="s">
        <v>152</v>
      </c>
      <c r="F406" t="s">
        <v>97</v>
      </c>
      <c r="G406" t="str">
        <f t="shared" si="8"/>
        <v>DB 214Brak (pełne)</v>
      </c>
    </row>
    <row r="407" spans="1:7" x14ac:dyDescent="0.35">
      <c r="A407">
        <v>215</v>
      </c>
      <c r="B407" t="s">
        <v>170</v>
      </c>
      <c r="C407">
        <v>5000</v>
      </c>
      <c r="D407" t="s">
        <v>151</v>
      </c>
      <c r="E407" t="s">
        <v>152</v>
      </c>
      <c r="F407" t="s">
        <v>97</v>
      </c>
      <c r="G407" t="str">
        <f t="shared" si="8"/>
        <v>DB 215Brak (pełne)</v>
      </c>
    </row>
    <row r="408" spans="1:7" x14ac:dyDescent="0.35">
      <c r="A408">
        <v>216</v>
      </c>
      <c r="B408" t="s">
        <v>171</v>
      </c>
      <c r="C408">
        <v>5000</v>
      </c>
      <c r="D408" t="s">
        <v>151</v>
      </c>
      <c r="E408" t="s">
        <v>152</v>
      </c>
      <c r="F408" t="s">
        <v>97</v>
      </c>
      <c r="G408" t="str">
        <f t="shared" si="8"/>
        <v>DB 216Brak (pełne)</v>
      </c>
    </row>
    <row r="409" spans="1:7" x14ac:dyDescent="0.35">
      <c r="A409">
        <v>217</v>
      </c>
      <c r="B409" t="s">
        <v>172</v>
      </c>
      <c r="C409">
        <v>5000</v>
      </c>
      <c r="D409" t="s">
        <v>151</v>
      </c>
      <c r="E409" t="s">
        <v>152</v>
      </c>
      <c r="F409" t="s">
        <v>97</v>
      </c>
      <c r="G409" t="str">
        <f t="shared" si="8"/>
        <v>DB 217Brak (pełne)</v>
      </c>
    </row>
    <row r="410" spans="1:7" x14ac:dyDescent="0.35">
      <c r="A410">
        <v>218</v>
      </c>
      <c r="B410" t="s">
        <v>173</v>
      </c>
      <c r="C410">
        <v>5000</v>
      </c>
      <c r="D410" t="s">
        <v>151</v>
      </c>
      <c r="E410" t="s">
        <v>152</v>
      </c>
      <c r="F410" t="s">
        <v>97</v>
      </c>
      <c r="G410" t="str">
        <f t="shared" si="8"/>
        <v>DB 218Brak (pełne)</v>
      </c>
    </row>
    <row r="411" spans="1:7" x14ac:dyDescent="0.35">
      <c r="A411">
        <v>219</v>
      </c>
      <c r="B411" t="s">
        <v>174</v>
      </c>
      <c r="C411">
        <v>5400</v>
      </c>
      <c r="D411" t="s">
        <v>151</v>
      </c>
      <c r="E411" t="s">
        <v>152</v>
      </c>
      <c r="F411" t="s">
        <v>827</v>
      </c>
      <c r="G411" t="str">
        <f t="shared" si="8"/>
        <v>DB 219Przezierne</v>
      </c>
    </row>
    <row r="412" spans="1:7" x14ac:dyDescent="0.35">
      <c r="A412">
        <v>219</v>
      </c>
      <c r="B412" t="s">
        <v>174</v>
      </c>
      <c r="C412">
        <v>5400</v>
      </c>
      <c r="D412" t="s">
        <v>151</v>
      </c>
      <c r="E412" t="s">
        <v>152</v>
      </c>
      <c r="F412" t="s">
        <v>76</v>
      </c>
      <c r="G412" t="str">
        <f t="shared" si="8"/>
        <v>DB 219Brąz refleks</v>
      </c>
    </row>
    <row r="413" spans="1:7" x14ac:dyDescent="0.35">
      <c r="A413">
        <v>219</v>
      </c>
      <c r="B413" t="s">
        <v>174</v>
      </c>
      <c r="C413">
        <v>5500</v>
      </c>
      <c r="D413" t="s">
        <v>151</v>
      </c>
      <c r="E413" t="s">
        <v>152</v>
      </c>
      <c r="F413" t="s">
        <v>8</v>
      </c>
      <c r="G413" t="str">
        <f t="shared" si="8"/>
        <v>DB 219Grafit refleks</v>
      </c>
    </row>
    <row r="414" spans="1:7" x14ac:dyDescent="0.35">
      <c r="A414">
        <v>219</v>
      </c>
      <c r="B414" t="s">
        <v>174</v>
      </c>
      <c r="C414">
        <v>5500</v>
      </c>
      <c r="D414" t="s">
        <v>151</v>
      </c>
      <c r="E414" t="s">
        <v>152</v>
      </c>
      <c r="F414" t="s">
        <v>43</v>
      </c>
      <c r="G414" t="str">
        <f t="shared" si="8"/>
        <v>DB 219Lustro weneckie</v>
      </c>
    </row>
    <row r="415" spans="1:7" x14ac:dyDescent="0.35">
      <c r="A415">
        <v>219</v>
      </c>
      <c r="B415" t="s">
        <v>174</v>
      </c>
      <c r="C415">
        <v>5700</v>
      </c>
      <c r="D415" t="s">
        <v>151</v>
      </c>
      <c r="E415" t="s">
        <v>152</v>
      </c>
      <c r="F415" t="s">
        <v>77</v>
      </c>
      <c r="G415" t="str">
        <f t="shared" si="8"/>
        <v>DB 219Mleczne</v>
      </c>
    </row>
    <row r="416" spans="1:7" x14ac:dyDescent="0.35">
      <c r="A416">
        <v>219</v>
      </c>
      <c r="B416" t="s">
        <v>174</v>
      </c>
      <c r="C416">
        <v>5700</v>
      </c>
      <c r="D416" t="s">
        <v>151</v>
      </c>
      <c r="E416" t="s">
        <v>152</v>
      </c>
      <c r="F416" t="s">
        <v>78</v>
      </c>
      <c r="G416" t="str">
        <f t="shared" si="8"/>
        <v>DB 219Piaskowane refleks</v>
      </c>
    </row>
    <row r="417" spans="1:7" x14ac:dyDescent="0.35">
      <c r="A417">
        <v>221</v>
      </c>
      <c r="B417" t="s">
        <v>175</v>
      </c>
      <c r="C417">
        <v>5000</v>
      </c>
      <c r="D417" t="s">
        <v>151</v>
      </c>
      <c r="E417" t="s">
        <v>152</v>
      </c>
      <c r="F417" t="s">
        <v>97</v>
      </c>
      <c r="G417" t="str">
        <f t="shared" si="8"/>
        <v>DB 221Brak (pełne)</v>
      </c>
    </row>
    <row r="418" spans="1:7" x14ac:dyDescent="0.35">
      <c r="A418">
        <v>223</v>
      </c>
      <c r="B418" t="s">
        <v>176</v>
      </c>
      <c r="C418">
        <v>6700</v>
      </c>
      <c r="D418" t="s">
        <v>151</v>
      </c>
      <c r="E418" t="s">
        <v>152</v>
      </c>
      <c r="F418" t="s">
        <v>97</v>
      </c>
      <c r="G418" t="str">
        <f t="shared" si="8"/>
        <v>DB 223Brak (pełne)</v>
      </c>
    </row>
    <row r="419" spans="1:7" x14ac:dyDescent="0.35">
      <c r="A419">
        <v>224</v>
      </c>
      <c r="B419" t="s">
        <v>177</v>
      </c>
      <c r="C419">
        <v>5000</v>
      </c>
      <c r="D419" t="s">
        <v>151</v>
      </c>
      <c r="E419" t="s">
        <v>152</v>
      </c>
      <c r="F419" t="s">
        <v>97</v>
      </c>
      <c r="G419" t="str">
        <f t="shared" si="8"/>
        <v>DB 224Brak (pełne)</v>
      </c>
    </row>
    <row r="420" spans="1:7" x14ac:dyDescent="0.35">
      <c r="A420">
        <v>225</v>
      </c>
      <c r="B420" t="s">
        <v>178</v>
      </c>
      <c r="C420">
        <v>5000</v>
      </c>
      <c r="D420" t="s">
        <v>151</v>
      </c>
      <c r="E420" t="s">
        <v>152</v>
      </c>
      <c r="F420" t="s">
        <v>97</v>
      </c>
      <c r="G420" t="str">
        <f t="shared" si="8"/>
        <v>DB 225Brak (pełne)</v>
      </c>
    </row>
    <row r="421" spans="1:7" x14ac:dyDescent="0.35">
      <c r="A421">
        <v>226</v>
      </c>
      <c r="B421" t="s">
        <v>179</v>
      </c>
      <c r="C421">
        <v>5000</v>
      </c>
      <c r="D421" t="s">
        <v>151</v>
      </c>
      <c r="E421" t="s">
        <v>152</v>
      </c>
      <c r="F421" t="s">
        <v>97</v>
      </c>
      <c r="G421" t="str">
        <f t="shared" si="8"/>
        <v>DB 226Brak (pełne)</v>
      </c>
    </row>
    <row r="422" spans="1:7" x14ac:dyDescent="0.35">
      <c r="A422">
        <v>249</v>
      </c>
      <c r="B422" t="s">
        <v>180</v>
      </c>
      <c r="C422">
        <v>5600</v>
      </c>
      <c r="D422" t="s">
        <v>151</v>
      </c>
      <c r="E422" t="s">
        <v>152</v>
      </c>
      <c r="F422" t="s">
        <v>827</v>
      </c>
      <c r="G422" t="str">
        <f t="shared" si="8"/>
        <v>DB 249Przezierne</v>
      </c>
    </row>
    <row r="423" spans="1:7" x14ac:dyDescent="0.35">
      <c r="A423">
        <v>249</v>
      </c>
      <c r="B423" t="s">
        <v>180</v>
      </c>
      <c r="C423">
        <v>5600</v>
      </c>
      <c r="D423" t="s">
        <v>151</v>
      </c>
      <c r="E423" t="s">
        <v>152</v>
      </c>
      <c r="F423" t="s">
        <v>76</v>
      </c>
      <c r="G423" t="str">
        <f t="shared" si="8"/>
        <v>DB 249Brąz refleks</v>
      </c>
    </row>
    <row r="424" spans="1:7" x14ac:dyDescent="0.35">
      <c r="A424">
        <v>249</v>
      </c>
      <c r="B424" t="s">
        <v>180</v>
      </c>
      <c r="C424">
        <v>5700</v>
      </c>
      <c r="D424" t="s">
        <v>151</v>
      </c>
      <c r="E424" t="s">
        <v>152</v>
      </c>
      <c r="F424" t="s">
        <v>8</v>
      </c>
      <c r="G424" t="str">
        <f t="shared" ref="G424:G486" si="9">B424&amp;F424</f>
        <v>DB 249Grafit refleks</v>
      </c>
    </row>
    <row r="425" spans="1:7" x14ac:dyDescent="0.35">
      <c r="A425">
        <v>249</v>
      </c>
      <c r="B425" t="s">
        <v>180</v>
      </c>
      <c r="C425">
        <v>5700</v>
      </c>
      <c r="D425" t="s">
        <v>151</v>
      </c>
      <c r="E425" t="s">
        <v>152</v>
      </c>
      <c r="F425" t="s">
        <v>43</v>
      </c>
      <c r="G425" t="str">
        <f t="shared" si="9"/>
        <v>DB 249Lustro weneckie</v>
      </c>
    </row>
    <row r="426" spans="1:7" x14ac:dyDescent="0.35">
      <c r="A426">
        <v>249</v>
      </c>
      <c r="B426" t="s">
        <v>180</v>
      </c>
      <c r="C426">
        <v>5900</v>
      </c>
      <c r="D426" t="s">
        <v>151</v>
      </c>
      <c r="E426" t="s">
        <v>152</v>
      </c>
      <c r="F426" t="s">
        <v>77</v>
      </c>
      <c r="G426" t="str">
        <f t="shared" si="9"/>
        <v>DB 249Mleczne</v>
      </c>
    </row>
    <row r="427" spans="1:7" x14ac:dyDescent="0.35">
      <c r="A427">
        <v>249</v>
      </c>
      <c r="B427" t="s">
        <v>180</v>
      </c>
      <c r="C427">
        <v>5900</v>
      </c>
      <c r="D427" t="s">
        <v>151</v>
      </c>
      <c r="E427" t="s">
        <v>152</v>
      </c>
      <c r="F427" t="s">
        <v>78</v>
      </c>
      <c r="G427" t="str">
        <f t="shared" si="9"/>
        <v>DB 249Piaskowane refleks</v>
      </c>
    </row>
    <row r="428" spans="1:7" x14ac:dyDescent="0.35">
      <c r="A428">
        <v>249</v>
      </c>
      <c r="B428" t="s">
        <v>180</v>
      </c>
      <c r="C428">
        <v>5900</v>
      </c>
      <c r="D428" t="s">
        <v>151</v>
      </c>
      <c r="E428" t="s">
        <v>152</v>
      </c>
      <c r="F428" t="s">
        <v>88</v>
      </c>
      <c r="G428" t="str">
        <f t="shared" si="9"/>
        <v>DB 249Brąz refleks wypukły</v>
      </c>
    </row>
    <row r="429" spans="1:7" x14ac:dyDescent="0.35">
      <c r="A429">
        <v>250</v>
      </c>
      <c r="B429" t="s">
        <v>181</v>
      </c>
      <c r="C429">
        <v>5400</v>
      </c>
      <c r="D429" t="s">
        <v>151</v>
      </c>
      <c r="E429" t="s">
        <v>152</v>
      </c>
      <c r="F429" t="s">
        <v>827</v>
      </c>
      <c r="G429" t="str">
        <f t="shared" si="9"/>
        <v>DB 250Przezierne</v>
      </c>
    </row>
    <row r="430" spans="1:7" x14ac:dyDescent="0.35">
      <c r="A430">
        <v>250</v>
      </c>
      <c r="B430" t="s">
        <v>181</v>
      </c>
      <c r="C430">
        <v>5400</v>
      </c>
      <c r="D430" t="s">
        <v>151</v>
      </c>
      <c r="E430" t="s">
        <v>152</v>
      </c>
      <c r="F430" t="s">
        <v>76</v>
      </c>
      <c r="G430" t="str">
        <f t="shared" si="9"/>
        <v>DB 250Brąz refleks</v>
      </c>
    </row>
    <row r="431" spans="1:7" x14ac:dyDescent="0.35">
      <c r="A431">
        <v>250</v>
      </c>
      <c r="B431" t="s">
        <v>181</v>
      </c>
      <c r="C431">
        <v>5500</v>
      </c>
      <c r="D431" t="s">
        <v>151</v>
      </c>
      <c r="E431" t="s">
        <v>152</v>
      </c>
      <c r="F431" t="s">
        <v>8</v>
      </c>
      <c r="G431" t="str">
        <f t="shared" si="9"/>
        <v>DB 250Grafit refleks</v>
      </c>
    </row>
    <row r="432" spans="1:7" x14ac:dyDescent="0.35">
      <c r="A432">
        <v>250</v>
      </c>
      <c r="B432" t="s">
        <v>181</v>
      </c>
      <c r="C432">
        <v>5500</v>
      </c>
      <c r="D432" t="s">
        <v>151</v>
      </c>
      <c r="E432" t="s">
        <v>152</v>
      </c>
      <c r="F432" t="s">
        <v>43</v>
      </c>
      <c r="G432" t="str">
        <f t="shared" si="9"/>
        <v>DB 250Lustro weneckie</v>
      </c>
    </row>
    <row r="433" spans="1:7" x14ac:dyDescent="0.35">
      <c r="A433">
        <v>250</v>
      </c>
      <c r="B433" t="s">
        <v>181</v>
      </c>
      <c r="C433">
        <v>5700</v>
      </c>
      <c r="D433" t="s">
        <v>151</v>
      </c>
      <c r="E433" t="s">
        <v>152</v>
      </c>
      <c r="F433" t="s">
        <v>77</v>
      </c>
      <c r="G433" t="str">
        <f t="shared" si="9"/>
        <v>DB 250Mleczne</v>
      </c>
    </row>
    <row r="434" spans="1:7" x14ac:dyDescent="0.35">
      <c r="A434">
        <v>251</v>
      </c>
      <c r="B434" t="s">
        <v>182</v>
      </c>
      <c r="C434">
        <v>5400</v>
      </c>
      <c r="D434" t="s">
        <v>151</v>
      </c>
      <c r="E434" t="s">
        <v>152</v>
      </c>
      <c r="F434" t="s">
        <v>827</v>
      </c>
      <c r="G434" t="str">
        <f t="shared" si="9"/>
        <v>DB 251Przezierne</v>
      </c>
    </row>
    <row r="435" spans="1:7" x14ac:dyDescent="0.35">
      <c r="A435">
        <v>251</v>
      </c>
      <c r="B435" t="s">
        <v>182</v>
      </c>
      <c r="C435">
        <v>5400</v>
      </c>
      <c r="D435" t="s">
        <v>151</v>
      </c>
      <c r="E435" t="s">
        <v>152</v>
      </c>
      <c r="F435" t="s">
        <v>76</v>
      </c>
      <c r="G435" t="str">
        <f t="shared" si="9"/>
        <v>DB 251Brąz refleks</v>
      </c>
    </row>
    <row r="436" spans="1:7" x14ac:dyDescent="0.35">
      <c r="A436">
        <v>251</v>
      </c>
      <c r="B436" t="s">
        <v>182</v>
      </c>
      <c r="C436">
        <v>5500</v>
      </c>
      <c r="D436" t="s">
        <v>151</v>
      </c>
      <c r="E436" t="s">
        <v>152</v>
      </c>
      <c r="F436" t="s">
        <v>8</v>
      </c>
      <c r="G436" t="str">
        <f t="shared" si="9"/>
        <v>DB 251Grafit refleks</v>
      </c>
    </row>
    <row r="437" spans="1:7" x14ac:dyDescent="0.35">
      <c r="A437">
        <v>251</v>
      </c>
      <c r="B437" t="s">
        <v>182</v>
      </c>
      <c r="C437">
        <v>5500</v>
      </c>
      <c r="D437" t="s">
        <v>151</v>
      </c>
      <c r="E437" t="s">
        <v>152</v>
      </c>
      <c r="F437" t="s">
        <v>43</v>
      </c>
      <c r="G437" t="str">
        <f t="shared" si="9"/>
        <v>DB 251Lustro weneckie</v>
      </c>
    </row>
    <row r="438" spans="1:7" x14ac:dyDescent="0.35">
      <c r="A438">
        <v>251</v>
      </c>
      <c r="B438" t="s">
        <v>182</v>
      </c>
      <c r="C438">
        <v>5700</v>
      </c>
      <c r="D438" t="s">
        <v>151</v>
      </c>
      <c r="E438" t="s">
        <v>152</v>
      </c>
      <c r="F438" t="s">
        <v>77</v>
      </c>
      <c r="G438" t="str">
        <f t="shared" si="9"/>
        <v>DB 251Mleczne</v>
      </c>
    </row>
    <row r="439" spans="1:7" x14ac:dyDescent="0.35">
      <c r="A439">
        <v>251</v>
      </c>
      <c r="B439" t="s">
        <v>182</v>
      </c>
      <c r="C439">
        <v>5700</v>
      </c>
      <c r="D439" t="s">
        <v>151</v>
      </c>
      <c r="E439" t="s">
        <v>152</v>
      </c>
      <c r="F439" t="s">
        <v>78</v>
      </c>
      <c r="G439" t="str">
        <f t="shared" si="9"/>
        <v>DB 251Piaskowane refleks</v>
      </c>
    </row>
    <row r="440" spans="1:7" x14ac:dyDescent="0.35">
      <c r="A440">
        <v>252</v>
      </c>
      <c r="B440" t="s">
        <v>6</v>
      </c>
      <c r="C440">
        <v>5400</v>
      </c>
      <c r="D440" t="s">
        <v>151</v>
      </c>
      <c r="E440" t="s">
        <v>152</v>
      </c>
      <c r="F440" t="s">
        <v>827</v>
      </c>
      <c r="G440" t="str">
        <f t="shared" si="9"/>
        <v>DB 252Przezierne</v>
      </c>
    </row>
    <row r="441" spans="1:7" x14ac:dyDescent="0.35">
      <c r="A441">
        <v>252</v>
      </c>
      <c r="B441" t="s">
        <v>6</v>
      </c>
      <c r="C441">
        <v>5400</v>
      </c>
      <c r="D441" t="s">
        <v>151</v>
      </c>
      <c r="E441" t="s">
        <v>152</v>
      </c>
      <c r="F441" t="s">
        <v>76</v>
      </c>
      <c r="G441" t="str">
        <f t="shared" si="9"/>
        <v>DB 252Brąz refleks</v>
      </c>
    </row>
    <row r="442" spans="1:7" x14ac:dyDescent="0.35">
      <c r="A442">
        <v>252</v>
      </c>
      <c r="B442" t="s">
        <v>6</v>
      </c>
      <c r="C442">
        <v>5500</v>
      </c>
      <c r="D442" t="s">
        <v>151</v>
      </c>
      <c r="E442" t="s">
        <v>152</v>
      </c>
      <c r="F442" t="s">
        <v>8</v>
      </c>
      <c r="G442" t="str">
        <f t="shared" si="9"/>
        <v>DB 252Grafit refleks</v>
      </c>
    </row>
    <row r="443" spans="1:7" x14ac:dyDescent="0.35">
      <c r="A443">
        <v>252</v>
      </c>
      <c r="B443" t="s">
        <v>6</v>
      </c>
      <c r="C443">
        <v>5500</v>
      </c>
      <c r="D443" t="s">
        <v>151</v>
      </c>
      <c r="E443" t="s">
        <v>152</v>
      </c>
      <c r="F443" t="s">
        <v>43</v>
      </c>
      <c r="G443" t="str">
        <f t="shared" si="9"/>
        <v>DB 252Lustro weneckie</v>
      </c>
    </row>
    <row r="444" spans="1:7" x14ac:dyDescent="0.35">
      <c r="A444">
        <v>252</v>
      </c>
      <c r="B444" t="s">
        <v>6</v>
      </c>
      <c r="C444">
        <v>5700</v>
      </c>
      <c r="D444" t="s">
        <v>151</v>
      </c>
      <c r="E444" t="s">
        <v>152</v>
      </c>
      <c r="F444" t="s">
        <v>77</v>
      </c>
      <c r="G444" t="str">
        <f t="shared" si="9"/>
        <v>DB 252Mleczne</v>
      </c>
    </row>
    <row r="445" spans="1:7" x14ac:dyDescent="0.35">
      <c r="A445">
        <v>252</v>
      </c>
      <c r="B445" t="s">
        <v>6</v>
      </c>
      <c r="C445">
        <v>5700</v>
      </c>
      <c r="D445" t="s">
        <v>151</v>
      </c>
      <c r="E445" t="s">
        <v>152</v>
      </c>
      <c r="F445" t="s">
        <v>78</v>
      </c>
      <c r="G445" t="str">
        <f t="shared" si="9"/>
        <v>DB 252Piaskowane refleks</v>
      </c>
    </row>
    <row r="446" spans="1:7" x14ac:dyDescent="0.35">
      <c r="A446">
        <v>253</v>
      </c>
      <c r="B446" t="s">
        <v>183</v>
      </c>
      <c r="C446">
        <v>5400</v>
      </c>
      <c r="D446" t="s">
        <v>151</v>
      </c>
      <c r="E446" t="s">
        <v>152</v>
      </c>
      <c r="F446" t="s">
        <v>827</v>
      </c>
      <c r="G446" t="str">
        <f t="shared" si="9"/>
        <v>DB 253Przezierne</v>
      </c>
    </row>
    <row r="447" spans="1:7" x14ac:dyDescent="0.35">
      <c r="A447">
        <v>253</v>
      </c>
      <c r="B447" t="s">
        <v>183</v>
      </c>
      <c r="C447">
        <v>5400</v>
      </c>
      <c r="D447" t="s">
        <v>151</v>
      </c>
      <c r="E447" t="s">
        <v>152</v>
      </c>
      <c r="F447" t="s">
        <v>76</v>
      </c>
      <c r="G447" t="str">
        <f t="shared" si="9"/>
        <v>DB 253Brąz refleks</v>
      </c>
    </row>
    <row r="448" spans="1:7" x14ac:dyDescent="0.35">
      <c r="A448">
        <v>253</v>
      </c>
      <c r="B448" t="s">
        <v>183</v>
      </c>
      <c r="C448">
        <v>5500</v>
      </c>
      <c r="D448" t="s">
        <v>151</v>
      </c>
      <c r="E448" t="s">
        <v>152</v>
      </c>
      <c r="F448" t="s">
        <v>8</v>
      </c>
      <c r="G448" t="str">
        <f t="shared" si="9"/>
        <v>DB 253Grafit refleks</v>
      </c>
    </row>
    <row r="449" spans="1:7" x14ac:dyDescent="0.35">
      <c r="A449">
        <v>253</v>
      </c>
      <c r="B449" t="s">
        <v>183</v>
      </c>
      <c r="C449">
        <v>5500</v>
      </c>
      <c r="D449" t="s">
        <v>151</v>
      </c>
      <c r="E449" t="s">
        <v>152</v>
      </c>
      <c r="F449" t="s">
        <v>43</v>
      </c>
      <c r="G449" t="str">
        <f t="shared" si="9"/>
        <v>DB 253Lustro weneckie</v>
      </c>
    </row>
    <row r="450" spans="1:7" x14ac:dyDescent="0.35">
      <c r="A450">
        <v>253</v>
      </c>
      <c r="B450" t="s">
        <v>183</v>
      </c>
      <c r="C450">
        <v>5700</v>
      </c>
      <c r="D450" t="s">
        <v>151</v>
      </c>
      <c r="E450" t="s">
        <v>152</v>
      </c>
      <c r="F450" t="s">
        <v>77</v>
      </c>
      <c r="G450" t="str">
        <f t="shared" si="9"/>
        <v>DB 253Mleczne</v>
      </c>
    </row>
    <row r="451" spans="1:7" x14ac:dyDescent="0.35">
      <c r="A451">
        <v>253</v>
      </c>
      <c r="B451" t="s">
        <v>183</v>
      </c>
      <c r="C451">
        <v>5700</v>
      </c>
      <c r="D451" t="s">
        <v>151</v>
      </c>
      <c r="E451" t="s">
        <v>152</v>
      </c>
      <c r="F451" t="s">
        <v>78</v>
      </c>
      <c r="G451" t="str">
        <f t="shared" si="9"/>
        <v>DB 253Piaskowane refleks</v>
      </c>
    </row>
    <row r="452" spans="1:7" x14ac:dyDescent="0.35">
      <c r="A452">
        <v>253</v>
      </c>
      <c r="B452" t="s">
        <v>184</v>
      </c>
      <c r="C452">
        <v>5400</v>
      </c>
      <c r="D452" t="s">
        <v>151</v>
      </c>
      <c r="E452" t="s">
        <v>152</v>
      </c>
      <c r="F452" t="s">
        <v>827</v>
      </c>
      <c r="G452" t="str">
        <f t="shared" si="9"/>
        <v>DB 253aPrzezierne</v>
      </c>
    </row>
    <row r="453" spans="1:7" x14ac:dyDescent="0.35">
      <c r="A453">
        <v>253</v>
      </c>
      <c r="B453" t="s">
        <v>184</v>
      </c>
      <c r="C453">
        <v>5400</v>
      </c>
      <c r="D453" t="s">
        <v>151</v>
      </c>
      <c r="E453" t="s">
        <v>152</v>
      </c>
      <c r="F453" t="s">
        <v>76</v>
      </c>
      <c r="G453" t="str">
        <f t="shared" si="9"/>
        <v>DB 253aBrąz refleks</v>
      </c>
    </row>
    <row r="454" spans="1:7" x14ac:dyDescent="0.35">
      <c r="A454">
        <v>253</v>
      </c>
      <c r="B454" t="s">
        <v>184</v>
      </c>
      <c r="C454">
        <v>5500</v>
      </c>
      <c r="D454" t="s">
        <v>151</v>
      </c>
      <c r="E454" t="s">
        <v>152</v>
      </c>
      <c r="F454" t="s">
        <v>8</v>
      </c>
      <c r="G454" t="str">
        <f t="shared" si="9"/>
        <v>DB 253aGrafit refleks</v>
      </c>
    </row>
    <row r="455" spans="1:7" x14ac:dyDescent="0.35">
      <c r="A455">
        <v>253</v>
      </c>
      <c r="B455" t="s">
        <v>184</v>
      </c>
      <c r="C455">
        <v>5500</v>
      </c>
      <c r="D455" t="s">
        <v>151</v>
      </c>
      <c r="E455" t="s">
        <v>152</v>
      </c>
      <c r="F455" t="s">
        <v>43</v>
      </c>
      <c r="G455" t="str">
        <f t="shared" si="9"/>
        <v>DB 253aLustro weneckie</v>
      </c>
    </row>
    <row r="456" spans="1:7" x14ac:dyDescent="0.35">
      <c r="A456">
        <v>253</v>
      </c>
      <c r="B456" t="s">
        <v>184</v>
      </c>
      <c r="C456">
        <v>5700</v>
      </c>
      <c r="D456" t="s">
        <v>151</v>
      </c>
      <c r="E456" t="s">
        <v>152</v>
      </c>
      <c r="F456" t="s">
        <v>78</v>
      </c>
      <c r="G456" t="str">
        <f t="shared" si="9"/>
        <v>DB 253aPiaskowane refleks</v>
      </c>
    </row>
    <row r="457" spans="1:7" x14ac:dyDescent="0.35">
      <c r="A457">
        <v>253</v>
      </c>
      <c r="B457" t="s">
        <v>184</v>
      </c>
      <c r="C457">
        <v>5700</v>
      </c>
      <c r="D457" t="s">
        <v>151</v>
      </c>
      <c r="E457" t="s">
        <v>152</v>
      </c>
      <c r="F457" t="s">
        <v>77</v>
      </c>
      <c r="G457" t="str">
        <f t="shared" si="9"/>
        <v>DB 253aMleczne</v>
      </c>
    </row>
    <row r="458" spans="1:7" x14ac:dyDescent="0.35">
      <c r="A458">
        <v>253</v>
      </c>
      <c r="B458" t="s">
        <v>185</v>
      </c>
      <c r="C458">
        <v>5400</v>
      </c>
      <c r="D458" t="s">
        <v>151</v>
      </c>
      <c r="E458" t="s">
        <v>152</v>
      </c>
      <c r="F458" t="s">
        <v>827</v>
      </c>
      <c r="G458" t="str">
        <f t="shared" si="9"/>
        <v>DB 253bPrzezierne</v>
      </c>
    </row>
    <row r="459" spans="1:7" x14ac:dyDescent="0.35">
      <c r="A459">
        <v>253</v>
      </c>
      <c r="B459" t="s">
        <v>185</v>
      </c>
      <c r="C459">
        <v>5400</v>
      </c>
      <c r="D459" t="s">
        <v>151</v>
      </c>
      <c r="E459" t="s">
        <v>152</v>
      </c>
      <c r="F459" t="s">
        <v>76</v>
      </c>
      <c r="G459" t="str">
        <f t="shared" si="9"/>
        <v>DB 253bBrąz refleks</v>
      </c>
    </row>
    <row r="460" spans="1:7" x14ac:dyDescent="0.35">
      <c r="A460">
        <v>253</v>
      </c>
      <c r="B460" t="s">
        <v>185</v>
      </c>
      <c r="C460">
        <v>5500</v>
      </c>
      <c r="D460" t="s">
        <v>151</v>
      </c>
      <c r="E460" t="s">
        <v>152</v>
      </c>
      <c r="F460" t="s">
        <v>8</v>
      </c>
      <c r="G460" t="str">
        <f t="shared" si="9"/>
        <v>DB 253bGrafit refleks</v>
      </c>
    </row>
    <row r="461" spans="1:7" x14ac:dyDescent="0.35">
      <c r="A461">
        <v>253</v>
      </c>
      <c r="B461" t="s">
        <v>185</v>
      </c>
      <c r="C461">
        <v>5500</v>
      </c>
      <c r="D461" t="s">
        <v>151</v>
      </c>
      <c r="E461" t="s">
        <v>152</v>
      </c>
      <c r="F461" t="s">
        <v>43</v>
      </c>
      <c r="G461" t="str">
        <f t="shared" si="9"/>
        <v>DB 253bLustro weneckie</v>
      </c>
    </row>
    <row r="462" spans="1:7" x14ac:dyDescent="0.35">
      <c r="A462">
        <v>253</v>
      </c>
      <c r="B462" t="s">
        <v>185</v>
      </c>
      <c r="C462">
        <v>5700</v>
      </c>
      <c r="D462" t="s">
        <v>151</v>
      </c>
      <c r="E462" t="s">
        <v>152</v>
      </c>
      <c r="F462" t="s">
        <v>77</v>
      </c>
      <c r="G462" t="str">
        <f t="shared" si="9"/>
        <v>DB 253bMleczne</v>
      </c>
    </row>
    <row r="463" spans="1:7" x14ac:dyDescent="0.35">
      <c r="A463">
        <v>253</v>
      </c>
      <c r="B463" t="s">
        <v>185</v>
      </c>
      <c r="C463">
        <v>5700</v>
      </c>
      <c r="D463" t="s">
        <v>151</v>
      </c>
      <c r="E463" t="s">
        <v>152</v>
      </c>
      <c r="F463" t="s">
        <v>78</v>
      </c>
      <c r="G463" t="str">
        <f t="shared" si="9"/>
        <v>DB 253bPiaskowane refleks</v>
      </c>
    </row>
    <row r="464" spans="1:7" x14ac:dyDescent="0.35">
      <c r="A464">
        <v>265</v>
      </c>
      <c r="B464" t="s">
        <v>186</v>
      </c>
      <c r="C464">
        <v>5400</v>
      </c>
      <c r="D464" t="s">
        <v>151</v>
      </c>
      <c r="E464" t="s">
        <v>152</v>
      </c>
      <c r="F464" t="s">
        <v>827</v>
      </c>
      <c r="G464" t="str">
        <f t="shared" si="9"/>
        <v>DB 265Przezierne</v>
      </c>
    </row>
    <row r="465" spans="1:7" x14ac:dyDescent="0.35">
      <c r="A465">
        <v>265</v>
      </c>
      <c r="B465" t="s">
        <v>186</v>
      </c>
      <c r="C465">
        <v>5400</v>
      </c>
      <c r="D465" t="s">
        <v>151</v>
      </c>
      <c r="E465" t="s">
        <v>152</v>
      </c>
      <c r="F465" t="s">
        <v>76</v>
      </c>
      <c r="G465" t="str">
        <f t="shared" si="9"/>
        <v>DB 265Brąz refleks</v>
      </c>
    </row>
    <row r="466" spans="1:7" x14ac:dyDescent="0.35">
      <c r="A466">
        <v>265</v>
      </c>
      <c r="B466" t="s">
        <v>186</v>
      </c>
      <c r="C466">
        <v>5500</v>
      </c>
      <c r="D466" t="s">
        <v>151</v>
      </c>
      <c r="E466" t="s">
        <v>152</v>
      </c>
      <c r="F466" t="s">
        <v>8</v>
      </c>
      <c r="G466" t="str">
        <f t="shared" si="9"/>
        <v>DB 265Grafit refleks</v>
      </c>
    </row>
    <row r="467" spans="1:7" x14ac:dyDescent="0.35">
      <c r="A467">
        <v>265</v>
      </c>
      <c r="B467" t="s">
        <v>186</v>
      </c>
      <c r="C467">
        <v>5500</v>
      </c>
      <c r="D467" t="s">
        <v>151</v>
      </c>
      <c r="E467" t="s">
        <v>152</v>
      </c>
      <c r="F467" t="s">
        <v>43</v>
      </c>
      <c r="G467" t="str">
        <f t="shared" si="9"/>
        <v>DB 265Lustro weneckie</v>
      </c>
    </row>
    <row r="468" spans="1:7" x14ac:dyDescent="0.35">
      <c r="A468">
        <v>265</v>
      </c>
      <c r="B468" t="s">
        <v>186</v>
      </c>
      <c r="C468">
        <v>5700</v>
      </c>
      <c r="D468" t="s">
        <v>151</v>
      </c>
      <c r="E468" t="s">
        <v>152</v>
      </c>
      <c r="F468" t="s">
        <v>77</v>
      </c>
      <c r="G468" t="str">
        <f t="shared" si="9"/>
        <v>DB 265Mleczne</v>
      </c>
    </row>
    <row r="469" spans="1:7" x14ac:dyDescent="0.35">
      <c r="A469">
        <v>265</v>
      </c>
      <c r="B469" t="s">
        <v>186</v>
      </c>
      <c r="C469">
        <v>5700</v>
      </c>
      <c r="D469" t="s">
        <v>151</v>
      </c>
      <c r="E469" t="s">
        <v>152</v>
      </c>
      <c r="F469" t="s">
        <v>78</v>
      </c>
      <c r="G469" t="str">
        <f t="shared" si="9"/>
        <v>DB 265Piaskowane refleks</v>
      </c>
    </row>
    <row r="470" spans="1:7" x14ac:dyDescent="0.35">
      <c r="A470">
        <v>266</v>
      </c>
      <c r="B470" t="s">
        <v>187</v>
      </c>
      <c r="C470">
        <v>5600</v>
      </c>
      <c r="D470" t="s">
        <v>151</v>
      </c>
      <c r="E470" t="s">
        <v>152</v>
      </c>
      <c r="F470" t="s">
        <v>827</v>
      </c>
      <c r="G470" t="str">
        <f t="shared" si="9"/>
        <v>DB 266Przezierne</v>
      </c>
    </row>
    <row r="471" spans="1:7" x14ac:dyDescent="0.35">
      <c r="A471">
        <v>266</v>
      </c>
      <c r="B471" t="s">
        <v>187</v>
      </c>
      <c r="C471">
        <v>5600</v>
      </c>
      <c r="D471" t="s">
        <v>151</v>
      </c>
      <c r="E471" t="s">
        <v>152</v>
      </c>
      <c r="F471" t="s">
        <v>76</v>
      </c>
      <c r="G471" t="str">
        <f t="shared" si="9"/>
        <v>DB 266Brąz refleks</v>
      </c>
    </row>
    <row r="472" spans="1:7" x14ac:dyDescent="0.35">
      <c r="A472">
        <v>266</v>
      </c>
      <c r="B472" t="s">
        <v>187</v>
      </c>
      <c r="C472">
        <v>5700</v>
      </c>
      <c r="D472" t="s">
        <v>151</v>
      </c>
      <c r="E472" t="s">
        <v>152</v>
      </c>
      <c r="F472" t="s">
        <v>8</v>
      </c>
      <c r="G472" t="str">
        <f t="shared" si="9"/>
        <v>DB 266Grafit refleks</v>
      </c>
    </row>
    <row r="473" spans="1:7" x14ac:dyDescent="0.35">
      <c r="A473">
        <v>266</v>
      </c>
      <c r="B473" t="s">
        <v>187</v>
      </c>
      <c r="C473">
        <v>5700</v>
      </c>
      <c r="D473" t="s">
        <v>151</v>
      </c>
      <c r="E473" t="s">
        <v>152</v>
      </c>
      <c r="F473" t="s">
        <v>43</v>
      </c>
      <c r="G473" t="str">
        <f t="shared" si="9"/>
        <v>DB 266Lustro weneckie</v>
      </c>
    </row>
    <row r="474" spans="1:7" x14ac:dyDescent="0.35">
      <c r="A474">
        <v>266</v>
      </c>
      <c r="B474" t="s">
        <v>187</v>
      </c>
      <c r="C474">
        <v>5900</v>
      </c>
      <c r="D474" t="s">
        <v>151</v>
      </c>
      <c r="E474" t="s">
        <v>152</v>
      </c>
      <c r="F474" t="s">
        <v>77</v>
      </c>
      <c r="G474" t="str">
        <f t="shared" si="9"/>
        <v>DB 266Mleczne</v>
      </c>
    </row>
    <row r="475" spans="1:7" x14ac:dyDescent="0.35">
      <c r="A475">
        <v>266</v>
      </c>
      <c r="B475" t="s">
        <v>187</v>
      </c>
      <c r="C475">
        <v>5900</v>
      </c>
      <c r="D475" t="s">
        <v>151</v>
      </c>
      <c r="E475" t="s">
        <v>152</v>
      </c>
      <c r="F475" t="s">
        <v>78</v>
      </c>
      <c r="G475" t="str">
        <f t="shared" si="9"/>
        <v>DB 266Piaskowane refleks</v>
      </c>
    </row>
    <row r="476" spans="1:7" x14ac:dyDescent="0.35">
      <c r="A476">
        <v>273</v>
      </c>
      <c r="B476" t="s">
        <v>188</v>
      </c>
      <c r="C476">
        <v>5600</v>
      </c>
      <c r="D476" t="s">
        <v>151</v>
      </c>
      <c r="E476" t="s">
        <v>152</v>
      </c>
      <c r="F476" t="s">
        <v>827</v>
      </c>
      <c r="G476" t="str">
        <f t="shared" si="9"/>
        <v>DB 273Przezierne</v>
      </c>
    </row>
    <row r="477" spans="1:7" x14ac:dyDescent="0.35">
      <c r="A477">
        <v>273</v>
      </c>
      <c r="B477" t="s">
        <v>188</v>
      </c>
      <c r="C477">
        <v>5600</v>
      </c>
      <c r="D477" t="s">
        <v>151</v>
      </c>
      <c r="E477" t="s">
        <v>152</v>
      </c>
      <c r="F477" t="s">
        <v>76</v>
      </c>
      <c r="G477" t="str">
        <f t="shared" si="9"/>
        <v>DB 273Brąz refleks</v>
      </c>
    </row>
    <row r="478" spans="1:7" x14ac:dyDescent="0.35">
      <c r="A478">
        <v>273</v>
      </c>
      <c r="B478" t="s">
        <v>188</v>
      </c>
      <c r="C478">
        <v>5700</v>
      </c>
      <c r="D478" t="s">
        <v>151</v>
      </c>
      <c r="E478" t="s">
        <v>152</v>
      </c>
      <c r="F478" t="s">
        <v>8</v>
      </c>
      <c r="G478" t="str">
        <f t="shared" si="9"/>
        <v>DB 273Grafit refleks</v>
      </c>
    </row>
    <row r="479" spans="1:7" x14ac:dyDescent="0.35">
      <c r="A479">
        <v>273</v>
      </c>
      <c r="B479" t="s">
        <v>188</v>
      </c>
      <c r="C479">
        <v>5700</v>
      </c>
      <c r="D479" t="s">
        <v>151</v>
      </c>
      <c r="E479" t="s">
        <v>152</v>
      </c>
      <c r="F479" t="s">
        <v>43</v>
      </c>
      <c r="G479" t="str">
        <f t="shared" si="9"/>
        <v>DB 273Lustro weneckie</v>
      </c>
    </row>
    <row r="480" spans="1:7" x14ac:dyDescent="0.35">
      <c r="A480">
        <v>273</v>
      </c>
      <c r="B480" t="s">
        <v>188</v>
      </c>
      <c r="C480">
        <v>5900</v>
      </c>
      <c r="D480" t="s">
        <v>151</v>
      </c>
      <c r="E480" t="s">
        <v>152</v>
      </c>
      <c r="F480" t="s">
        <v>77</v>
      </c>
      <c r="G480" t="str">
        <f t="shared" si="9"/>
        <v>DB 273Mleczne</v>
      </c>
    </row>
    <row r="481" spans="1:7" x14ac:dyDescent="0.35">
      <c r="A481">
        <v>274</v>
      </c>
      <c r="B481" t="s">
        <v>189</v>
      </c>
      <c r="C481">
        <v>5400</v>
      </c>
      <c r="D481" t="s">
        <v>151</v>
      </c>
      <c r="E481" t="s">
        <v>152</v>
      </c>
      <c r="F481" t="s">
        <v>827</v>
      </c>
      <c r="G481" t="str">
        <f t="shared" si="9"/>
        <v>DB 274Przezierne</v>
      </c>
    </row>
    <row r="482" spans="1:7" x14ac:dyDescent="0.35">
      <c r="A482">
        <v>274</v>
      </c>
      <c r="B482" t="s">
        <v>189</v>
      </c>
      <c r="C482">
        <v>5400</v>
      </c>
      <c r="D482" t="s">
        <v>151</v>
      </c>
      <c r="E482" t="s">
        <v>152</v>
      </c>
      <c r="F482" t="s">
        <v>76</v>
      </c>
      <c r="G482" t="str">
        <f t="shared" si="9"/>
        <v>DB 274Brąz refleks</v>
      </c>
    </row>
    <row r="483" spans="1:7" x14ac:dyDescent="0.35">
      <c r="A483">
        <v>274</v>
      </c>
      <c r="B483" t="s">
        <v>189</v>
      </c>
      <c r="C483">
        <v>5500</v>
      </c>
      <c r="D483" t="s">
        <v>151</v>
      </c>
      <c r="E483" t="s">
        <v>152</v>
      </c>
      <c r="F483" t="s">
        <v>8</v>
      </c>
      <c r="G483" t="str">
        <f t="shared" si="9"/>
        <v>DB 274Grafit refleks</v>
      </c>
    </row>
    <row r="484" spans="1:7" x14ac:dyDescent="0.35">
      <c r="A484">
        <v>274</v>
      </c>
      <c r="B484" t="s">
        <v>189</v>
      </c>
      <c r="C484">
        <v>5500</v>
      </c>
      <c r="D484" t="s">
        <v>151</v>
      </c>
      <c r="E484" t="s">
        <v>152</v>
      </c>
      <c r="F484" t="s">
        <v>43</v>
      </c>
      <c r="G484" t="str">
        <f t="shared" si="9"/>
        <v>DB 274Lustro weneckie</v>
      </c>
    </row>
    <row r="485" spans="1:7" x14ac:dyDescent="0.35">
      <c r="A485">
        <v>274</v>
      </c>
      <c r="B485" t="s">
        <v>189</v>
      </c>
      <c r="C485">
        <v>5700</v>
      </c>
      <c r="D485" t="s">
        <v>151</v>
      </c>
      <c r="E485" t="s">
        <v>152</v>
      </c>
      <c r="F485" t="s">
        <v>77</v>
      </c>
      <c r="G485" t="str">
        <f t="shared" si="9"/>
        <v>DB 274Mleczne</v>
      </c>
    </row>
    <row r="486" spans="1:7" x14ac:dyDescent="0.35">
      <c r="A486">
        <v>274</v>
      </c>
      <c r="B486" t="s">
        <v>189</v>
      </c>
      <c r="C486">
        <v>5700</v>
      </c>
      <c r="D486" t="s">
        <v>151</v>
      </c>
      <c r="E486" t="s">
        <v>152</v>
      </c>
      <c r="F486" t="s">
        <v>78</v>
      </c>
      <c r="G486" t="str">
        <f t="shared" si="9"/>
        <v>DB 274Piaskowane refleks</v>
      </c>
    </row>
    <row r="487" spans="1:7" x14ac:dyDescent="0.35">
      <c r="A487">
        <v>278</v>
      </c>
      <c r="B487" t="s">
        <v>190</v>
      </c>
      <c r="C487">
        <v>5000</v>
      </c>
      <c r="D487" t="s">
        <v>151</v>
      </c>
      <c r="E487" t="s">
        <v>152</v>
      </c>
      <c r="F487" t="s">
        <v>97</v>
      </c>
      <c r="G487" t="str">
        <f t="shared" ref="G487:G549" si="10">B487&amp;F487</f>
        <v>DB 278Brak (pełne)</v>
      </c>
    </row>
    <row r="488" spans="1:7" x14ac:dyDescent="0.35">
      <c r="A488">
        <v>279</v>
      </c>
      <c r="B488" t="s">
        <v>352</v>
      </c>
      <c r="C488">
        <v>5400</v>
      </c>
      <c r="D488" t="s">
        <v>151</v>
      </c>
      <c r="E488" t="s">
        <v>152</v>
      </c>
      <c r="F488" t="s">
        <v>827</v>
      </c>
      <c r="G488" t="str">
        <f t="shared" si="10"/>
        <v>DB 279Przezierne</v>
      </c>
    </row>
    <row r="489" spans="1:7" x14ac:dyDescent="0.35">
      <c r="A489">
        <v>279</v>
      </c>
      <c r="B489" t="s">
        <v>352</v>
      </c>
      <c r="C489">
        <v>5400</v>
      </c>
      <c r="D489" t="s">
        <v>151</v>
      </c>
      <c r="E489" t="s">
        <v>152</v>
      </c>
      <c r="F489" t="s">
        <v>76</v>
      </c>
      <c r="G489" t="str">
        <f t="shared" si="10"/>
        <v>DB 279Brąz refleks</v>
      </c>
    </row>
    <row r="490" spans="1:7" x14ac:dyDescent="0.35">
      <c r="A490">
        <v>279</v>
      </c>
      <c r="B490" t="s">
        <v>352</v>
      </c>
      <c r="C490">
        <v>5500</v>
      </c>
      <c r="D490" t="s">
        <v>151</v>
      </c>
      <c r="E490" t="s">
        <v>152</v>
      </c>
      <c r="F490" t="s">
        <v>8</v>
      </c>
      <c r="G490" t="str">
        <f t="shared" si="10"/>
        <v>DB 279Grafit refleks</v>
      </c>
    </row>
    <row r="491" spans="1:7" x14ac:dyDescent="0.35">
      <c r="A491">
        <v>279</v>
      </c>
      <c r="B491" t="s">
        <v>352</v>
      </c>
      <c r="C491">
        <v>5500</v>
      </c>
      <c r="D491" t="s">
        <v>151</v>
      </c>
      <c r="E491" t="s">
        <v>152</v>
      </c>
      <c r="F491" t="s">
        <v>43</v>
      </c>
      <c r="G491" t="str">
        <f t="shared" si="10"/>
        <v>DB 279Lustro weneckie</v>
      </c>
    </row>
    <row r="492" spans="1:7" x14ac:dyDescent="0.35">
      <c r="A492">
        <v>279</v>
      </c>
      <c r="B492" t="s">
        <v>352</v>
      </c>
      <c r="C492">
        <v>5700</v>
      </c>
      <c r="D492" t="s">
        <v>151</v>
      </c>
      <c r="E492" t="s">
        <v>152</v>
      </c>
      <c r="F492" t="s">
        <v>77</v>
      </c>
      <c r="G492" t="str">
        <f t="shared" si="10"/>
        <v>DB 279Mleczne</v>
      </c>
    </row>
    <row r="493" spans="1:7" x14ac:dyDescent="0.35">
      <c r="A493">
        <v>279</v>
      </c>
      <c r="B493" t="s">
        <v>191</v>
      </c>
      <c r="C493">
        <v>5400</v>
      </c>
      <c r="D493" t="s">
        <v>151</v>
      </c>
      <c r="E493" t="s">
        <v>152</v>
      </c>
      <c r="F493" t="s">
        <v>827</v>
      </c>
      <c r="G493" t="str">
        <f t="shared" si="10"/>
        <v>DB 279aPrzezierne</v>
      </c>
    </row>
    <row r="494" spans="1:7" x14ac:dyDescent="0.35">
      <c r="A494">
        <v>279</v>
      </c>
      <c r="B494" t="s">
        <v>191</v>
      </c>
      <c r="C494">
        <v>5400</v>
      </c>
      <c r="D494" t="s">
        <v>151</v>
      </c>
      <c r="E494" t="s">
        <v>152</v>
      </c>
      <c r="F494" t="s">
        <v>76</v>
      </c>
      <c r="G494" t="str">
        <f t="shared" si="10"/>
        <v>DB 279aBrąz refleks</v>
      </c>
    </row>
    <row r="495" spans="1:7" x14ac:dyDescent="0.35">
      <c r="A495">
        <v>279</v>
      </c>
      <c r="B495" t="s">
        <v>191</v>
      </c>
      <c r="C495">
        <v>5500</v>
      </c>
      <c r="D495" t="s">
        <v>151</v>
      </c>
      <c r="E495" t="s">
        <v>152</v>
      </c>
      <c r="F495" t="s">
        <v>8</v>
      </c>
      <c r="G495" t="str">
        <f t="shared" si="10"/>
        <v>DB 279aGrafit refleks</v>
      </c>
    </row>
    <row r="496" spans="1:7" x14ac:dyDescent="0.35">
      <c r="A496">
        <v>279</v>
      </c>
      <c r="B496" t="s">
        <v>191</v>
      </c>
      <c r="C496">
        <v>5500</v>
      </c>
      <c r="D496" t="s">
        <v>151</v>
      </c>
      <c r="E496" t="s">
        <v>152</v>
      </c>
      <c r="F496" t="s">
        <v>43</v>
      </c>
      <c r="G496" t="str">
        <f t="shared" si="10"/>
        <v>DB 279aLustro weneckie</v>
      </c>
    </row>
    <row r="497" spans="1:7" x14ac:dyDescent="0.35">
      <c r="A497">
        <v>279</v>
      </c>
      <c r="B497" t="s">
        <v>191</v>
      </c>
      <c r="C497">
        <v>5700</v>
      </c>
      <c r="D497" t="s">
        <v>151</v>
      </c>
      <c r="E497" t="s">
        <v>152</v>
      </c>
      <c r="F497" t="s">
        <v>77</v>
      </c>
      <c r="G497" t="str">
        <f t="shared" si="10"/>
        <v>DB 279aMleczne</v>
      </c>
    </row>
    <row r="498" spans="1:7" x14ac:dyDescent="0.35">
      <c r="A498">
        <v>285</v>
      </c>
      <c r="B498" t="s">
        <v>192</v>
      </c>
      <c r="C498">
        <v>5600</v>
      </c>
      <c r="D498" t="s">
        <v>151</v>
      </c>
      <c r="E498" t="s">
        <v>152</v>
      </c>
      <c r="F498" t="s">
        <v>827</v>
      </c>
      <c r="G498" t="str">
        <f t="shared" si="10"/>
        <v>DB 285Przezierne</v>
      </c>
    </row>
    <row r="499" spans="1:7" x14ac:dyDescent="0.35">
      <c r="A499">
        <v>285</v>
      </c>
      <c r="B499" t="s">
        <v>192</v>
      </c>
      <c r="C499">
        <v>5600</v>
      </c>
      <c r="D499" t="s">
        <v>151</v>
      </c>
      <c r="E499" t="s">
        <v>152</v>
      </c>
      <c r="F499" t="s">
        <v>76</v>
      </c>
      <c r="G499" t="str">
        <f t="shared" si="10"/>
        <v>DB 285Brąz refleks</v>
      </c>
    </row>
    <row r="500" spans="1:7" x14ac:dyDescent="0.35">
      <c r="A500">
        <v>285</v>
      </c>
      <c r="B500" t="s">
        <v>192</v>
      </c>
      <c r="C500">
        <v>5700</v>
      </c>
      <c r="D500" t="s">
        <v>151</v>
      </c>
      <c r="E500" t="s">
        <v>152</v>
      </c>
      <c r="F500" t="s">
        <v>8</v>
      </c>
      <c r="G500" t="str">
        <f t="shared" si="10"/>
        <v>DB 285Grafit refleks</v>
      </c>
    </row>
    <row r="501" spans="1:7" x14ac:dyDescent="0.35">
      <c r="A501">
        <v>285</v>
      </c>
      <c r="B501" t="s">
        <v>192</v>
      </c>
      <c r="C501">
        <v>5700</v>
      </c>
      <c r="D501" t="s">
        <v>151</v>
      </c>
      <c r="E501" t="s">
        <v>152</v>
      </c>
      <c r="F501" t="s">
        <v>43</v>
      </c>
      <c r="G501" t="str">
        <f t="shared" si="10"/>
        <v>DB 285Lustro weneckie</v>
      </c>
    </row>
    <row r="502" spans="1:7" x14ac:dyDescent="0.35">
      <c r="A502">
        <v>285</v>
      </c>
      <c r="B502" t="s">
        <v>192</v>
      </c>
      <c r="C502">
        <v>5900</v>
      </c>
      <c r="D502" t="s">
        <v>151</v>
      </c>
      <c r="E502" t="s">
        <v>152</v>
      </c>
      <c r="F502" t="s">
        <v>77</v>
      </c>
      <c r="G502" t="str">
        <f t="shared" si="10"/>
        <v>DB 285Mleczne</v>
      </c>
    </row>
    <row r="503" spans="1:7" x14ac:dyDescent="0.35">
      <c r="A503">
        <v>285</v>
      </c>
      <c r="B503" t="s">
        <v>192</v>
      </c>
      <c r="C503">
        <v>5900</v>
      </c>
      <c r="D503" t="s">
        <v>151</v>
      </c>
      <c r="E503" t="s">
        <v>152</v>
      </c>
      <c r="F503" t="s">
        <v>78</v>
      </c>
      <c r="G503" t="str">
        <f t="shared" si="10"/>
        <v>DB 285Piaskowane refleks</v>
      </c>
    </row>
    <row r="504" spans="1:7" x14ac:dyDescent="0.35">
      <c r="A504">
        <v>286</v>
      </c>
      <c r="B504" t="s">
        <v>193</v>
      </c>
      <c r="C504">
        <v>5600</v>
      </c>
      <c r="D504" t="s">
        <v>151</v>
      </c>
      <c r="E504" t="s">
        <v>152</v>
      </c>
      <c r="F504" t="s">
        <v>827</v>
      </c>
      <c r="G504" t="str">
        <f t="shared" si="10"/>
        <v>DB 286Przezierne</v>
      </c>
    </row>
    <row r="505" spans="1:7" x14ac:dyDescent="0.35">
      <c r="A505">
        <v>286</v>
      </c>
      <c r="B505" t="s">
        <v>193</v>
      </c>
      <c r="C505">
        <v>5600</v>
      </c>
      <c r="D505" t="s">
        <v>151</v>
      </c>
      <c r="E505" t="s">
        <v>152</v>
      </c>
      <c r="F505" t="s">
        <v>76</v>
      </c>
      <c r="G505" t="str">
        <f t="shared" si="10"/>
        <v>DB 286Brąz refleks</v>
      </c>
    </row>
    <row r="506" spans="1:7" x14ac:dyDescent="0.35">
      <c r="A506">
        <v>286</v>
      </c>
      <c r="B506" t="s">
        <v>193</v>
      </c>
      <c r="C506">
        <v>5700</v>
      </c>
      <c r="D506" t="s">
        <v>151</v>
      </c>
      <c r="E506" t="s">
        <v>152</v>
      </c>
      <c r="F506" t="s">
        <v>8</v>
      </c>
      <c r="G506" t="str">
        <f t="shared" si="10"/>
        <v>DB 286Grafit refleks</v>
      </c>
    </row>
    <row r="507" spans="1:7" x14ac:dyDescent="0.35">
      <c r="A507">
        <v>286</v>
      </c>
      <c r="B507" t="s">
        <v>193</v>
      </c>
      <c r="C507">
        <v>5700</v>
      </c>
      <c r="D507" t="s">
        <v>151</v>
      </c>
      <c r="E507" t="s">
        <v>152</v>
      </c>
      <c r="F507" t="s">
        <v>43</v>
      </c>
      <c r="G507" t="str">
        <f t="shared" si="10"/>
        <v>DB 286Lustro weneckie</v>
      </c>
    </row>
    <row r="508" spans="1:7" x14ac:dyDescent="0.35">
      <c r="A508">
        <v>286</v>
      </c>
      <c r="B508" t="s">
        <v>193</v>
      </c>
      <c r="C508">
        <v>5900</v>
      </c>
      <c r="D508" t="s">
        <v>151</v>
      </c>
      <c r="E508" t="s">
        <v>152</v>
      </c>
      <c r="F508" t="s">
        <v>77</v>
      </c>
      <c r="G508" t="str">
        <f t="shared" si="10"/>
        <v>DB 286Mleczne</v>
      </c>
    </row>
    <row r="509" spans="1:7" x14ac:dyDescent="0.35">
      <c r="A509">
        <v>286</v>
      </c>
      <c r="B509" t="s">
        <v>193</v>
      </c>
      <c r="C509">
        <v>5900</v>
      </c>
      <c r="D509" t="s">
        <v>151</v>
      </c>
      <c r="E509" t="s">
        <v>152</v>
      </c>
      <c r="F509" t="s">
        <v>78</v>
      </c>
      <c r="G509" t="str">
        <f t="shared" si="10"/>
        <v>DB 286Piaskowane refleks</v>
      </c>
    </row>
    <row r="510" spans="1:7" x14ac:dyDescent="0.35">
      <c r="A510">
        <v>289</v>
      </c>
      <c r="B510" t="s">
        <v>194</v>
      </c>
      <c r="C510">
        <v>5000</v>
      </c>
      <c r="D510" t="s">
        <v>151</v>
      </c>
      <c r="E510" t="s">
        <v>152</v>
      </c>
      <c r="F510" t="s">
        <v>97</v>
      </c>
      <c r="G510" t="str">
        <f t="shared" si="10"/>
        <v>DB 289Brak (pełne)</v>
      </c>
    </row>
    <row r="511" spans="1:7" x14ac:dyDescent="0.35">
      <c r="A511">
        <v>290</v>
      </c>
      <c r="B511" t="s">
        <v>195</v>
      </c>
      <c r="C511">
        <v>5400</v>
      </c>
      <c r="D511" t="s">
        <v>151</v>
      </c>
      <c r="E511" t="s">
        <v>152</v>
      </c>
      <c r="F511" t="s">
        <v>827</v>
      </c>
      <c r="G511" t="str">
        <f t="shared" si="10"/>
        <v>DB 290Przezierne</v>
      </c>
    </row>
    <row r="512" spans="1:7" x14ac:dyDescent="0.35">
      <c r="A512">
        <v>290</v>
      </c>
      <c r="B512" t="s">
        <v>195</v>
      </c>
      <c r="C512">
        <v>5400</v>
      </c>
      <c r="D512" t="s">
        <v>151</v>
      </c>
      <c r="E512" t="s">
        <v>152</v>
      </c>
      <c r="F512" t="s">
        <v>76</v>
      </c>
      <c r="G512" t="str">
        <f t="shared" si="10"/>
        <v>DB 290Brąz refleks</v>
      </c>
    </row>
    <row r="513" spans="1:7" x14ac:dyDescent="0.35">
      <c r="A513">
        <v>290</v>
      </c>
      <c r="B513" t="s">
        <v>195</v>
      </c>
      <c r="C513">
        <v>5500</v>
      </c>
      <c r="D513" t="s">
        <v>151</v>
      </c>
      <c r="E513" t="s">
        <v>152</v>
      </c>
      <c r="F513" t="s">
        <v>8</v>
      </c>
      <c r="G513" t="str">
        <f t="shared" si="10"/>
        <v>DB 290Grafit refleks</v>
      </c>
    </row>
    <row r="514" spans="1:7" x14ac:dyDescent="0.35">
      <c r="A514">
        <v>290</v>
      </c>
      <c r="B514" t="s">
        <v>195</v>
      </c>
      <c r="C514">
        <v>5500</v>
      </c>
      <c r="D514" t="s">
        <v>151</v>
      </c>
      <c r="E514" t="s">
        <v>152</v>
      </c>
      <c r="F514" t="s">
        <v>43</v>
      </c>
      <c r="G514" t="str">
        <f t="shared" si="10"/>
        <v>DB 290Lustro weneckie</v>
      </c>
    </row>
    <row r="515" spans="1:7" x14ac:dyDescent="0.35">
      <c r="A515">
        <v>290</v>
      </c>
      <c r="B515" t="s">
        <v>195</v>
      </c>
      <c r="C515">
        <v>5700</v>
      </c>
      <c r="D515" t="s">
        <v>151</v>
      </c>
      <c r="E515" t="s">
        <v>152</v>
      </c>
      <c r="F515" t="s">
        <v>77</v>
      </c>
      <c r="G515" t="str">
        <f t="shared" si="10"/>
        <v>DB 290Mleczne</v>
      </c>
    </row>
    <row r="516" spans="1:7" x14ac:dyDescent="0.35">
      <c r="A516">
        <v>291</v>
      </c>
      <c r="B516" t="s">
        <v>196</v>
      </c>
      <c r="C516">
        <v>5400</v>
      </c>
      <c r="D516" t="s">
        <v>151</v>
      </c>
      <c r="E516" t="s">
        <v>152</v>
      </c>
      <c r="F516" t="s">
        <v>827</v>
      </c>
      <c r="G516" t="str">
        <f t="shared" si="10"/>
        <v>DB 291Przezierne</v>
      </c>
    </row>
    <row r="517" spans="1:7" x14ac:dyDescent="0.35">
      <c r="A517">
        <v>291</v>
      </c>
      <c r="B517" t="s">
        <v>196</v>
      </c>
      <c r="C517">
        <v>5400</v>
      </c>
      <c r="D517" t="s">
        <v>151</v>
      </c>
      <c r="E517" t="s">
        <v>152</v>
      </c>
      <c r="F517" t="s">
        <v>76</v>
      </c>
      <c r="G517" t="str">
        <f t="shared" si="10"/>
        <v>DB 291Brąz refleks</v>
      </c>
    </row>
    <row r="518" spans="1:7" x14ac:dyDescent="0.35">
      <c r="A518">
        <v>291</v>
      </c>
      <c r="B518" t="s">
        <v>196</v>
      </c>
      <c r="C518">
        <v>5500</v>
      </c>
      <c r="D518" t="s">
        <v>151</v>
      </c>
      <c r="E518" t="s">
        <v>152</v>
      </c>
      <c r="F518" t="s">
        <v>8</v>
      </c>
      <c r="G518" t="str">
        <f t="shared" si="10"/>
        <v>DB 291Grafit refleks</v>
      </c>
    </row>
    <row r="519" spans="1:7" x14ac:dyDescent="0.35">
      <c r="A519">
        <v>291</v>
      </c>
      <c r="B519" t="s">
        <v>196</v>
      </c>
      <c r="C519">
        <v>5500</v>
      </c>
      <c r="D519" t="s">
        <v>151</v>
      </c>
      <c r="E519" t="s">
        <v>152</v>
      </c>
      <c r="F519" t="s">
        <v>43</v>
      </c>
      <c r="G519" t="str">
        <f t="shared" si="10"/>
        <v>DB 291Lustro weneckie</v>
      </c>
    </row>
    <row r="520" spans="1:7" x14ac:dyDescent="0.35">
      <c r="A520">
        <v>291</v>
      </c>
      <c r="B520" t="s">
        <v>196</v>
      </c>
      <c r="C520">
        <v>5700</v>
      </c>
      <c r="D520" t="s">
        <v>151</v>
      </c>
      <c r="E520" t="s">
        <v>152</v>
      </c>
      <c r="F520" t="s">
        <v>77</v>
      </c>
      <c r="G520" t="str">
        <f t="shared" si="10"/>
        <v>DB 291Mleczne</v>
      </c>
    </row>
    <row r="521" spans="1:7" x14ac:dyDescent="0.35">
      <c r="A521">
        <v>291</v>
      </c>
      <c r="B521" t="s">
        <v>196</v>
      </c>
      <c r="C521">
        <v>5700</v>
      </c>
      <c r="D521" t="s">
        <v>151</v>
      </c>
      <c r="E521" t="s">
        <v>152</v>
      </c>
      <c r="F521" t="s">
        <v>78</v>
      </c>
      <c r="G521" t="str">
        <f t="shared" si="10"/>
        <v>DB 291Piaskowane refleks</v>
      </c>
    </row>
    <row r="522" spans="1:7" x14ac:dyDescent="0.35">
      <c r="A522">
        <v>292</v>
      </c>
      <c r="B522" t="s">
        <v>197</v>
      </c>
      <c r="C522">
        <v>5400</v>
      </c>
      <c r="D522" t="s">
        <v>151</v>
      </c>
      <c r="E522" t="s">
        <v>152</v>
      </c>
      <c r="F522" t="s">
        <v>827</v>
      </c>
      <c r="G522" t="str">
        <f t="shared" si="10"/>
        <v>DB 292Przezierne</v>
      </c>
    </row>
    <row r="523" spans="1:7" x14ac:dyDescent="0.35">
      <c r="A523">
        <v>292</v>
      </c>
      <c r="B523" t="s">
        <v>197</v>
      </c>
      <c r="C523">
        <v>5400</v>
      </c>
      <c r="D523" t="s">
        <v>151</v>
      </c>
      <c r="E523" t="s">
        <v>152</v>
      </c>
      <c r="F523" t="s">
        <v>76</v>
      </c>
      <c r="G523" t="str">
        <f t="shared" si="10"/>
        <v>DB 292Brąz refleks</v>
      </c>
    </row>
    <row r="524" spans="1:7" x14ac:dyDescent="0.35">
      <c r="A524">
        <v>292</v>
      </c>
      <c r="B524" t="s">
        <v>197</v>
      </c>
      <c r="C524">
        <v>5500</v>
      </c>
      <c r="D524" t="s">
        <v>151</v>
      </c>
      <c r="E524" t="s">
        <v>152</v>
      </c>
      <c r="F524" t="s">
        <v>8</v>
      </c>
      <c r="G524" t="str">
        <f t="shared" si="10"/>
        <v>DB 292Grafit refleks</v>
      </c>
    </row>
    <row r="525" spans="1:7" x14ac:dyDescent="0.35">
      <c r="A525">
        <v>292</v>
      </c>
      <c r="B525" t="s">
        <v>197</v>
      </c>
      <c r="C525">
        <v>5500</v>
      </c>
      <c r="D525" t="s">
        <v>151</v>
      </c>
      <c r="E525" t="s">
        <v>152</v>
      </c>
      <c r="F525" t="s">
        <v>43</v>
      </c>
      <c r="G525" t="str">
        <f t="shared" si="10"/>
        <v>DB 292Lustro weneckie</v>
      </c>
    </row>
    <row r="526" spans="1:7" x14ac:dyDescent="0.35">
      <c r="A526">
        <v>292</v>
      </c>
      <c r="B526" t="s">
        <v>197</v>
      </c>
      <c r="C526">
        <v>5700</v>
      </c>
      <c r="D526" t="s">
        <v>151</v>
      </c>
      <c r="E526" t="s">
        <v>152</v>
      </c>
      <c r="F526" t="s">
        <v>77</v>
      </c>
      <c r="G526" t="str">
        <f t="shared" si="10"/>
        <v>DB 292Mleczne</v>
      </c>
    </row>
    <row r="527" spans="1:7" x14ac:dyDescent="0.35">
      <c r="A527">
        <v>292</v>
      </c>
      <c r="B527" t="s">
        <v>197</v>
      </c>
      <c r="C527">
        <v>5700</v>
      </c>
      <c r="D527" t="s">
        <v>151</v>
      </c>
      <c r="E527" t="s">
        <v>152</v>
      </c>
      <c r="F527" t="s">
        <v>78</v>
      </c>
      <c r="G527" t="str">
        <f t="shared" si="10"/>
        <v>DB 292Piaskowane refleks</v>
      </c>
    </row>
    <row r="528" spans="1:7" x14ac:dyDescent="0.35">
      <c r="A528">
        <v>293</v>
      </c>
      <c r="B528" t="s">
        <v>198</v>
      </c>
      <c r="C528">
        <v>5400</v>
      </c>
      <c r="D528" t="s">
        <v>151</v>
      </c>
      <c r="E528" t="s">
        <v>152</v>
      </c>
      <c r="F528" t="s">
        <v>827</v>
      </c>
      <c r="G528" t="str">
        <f t="shared" si="10"/>
        <v>DB 293Przezierne</v>
      </c>
    </row>
    <row r="529" spans="1:7" x14ac:dyDescent="0.35">
      <c r="A529">
        <v>293</v>
      </c>
      <c r="B529" t="s">
        <v>198</v>
      </c>
      <c r="C529">
        <v>5400</v>
      </c>
      <c r="D529" t="s">
        <v>151</v>
      </c>
      <c r="E529" t="s">
        <v>152</v>
      </c>
      <c r="F529" t="s">
        <v>76</v>
      </c>
      <c r="G529" t="str">
        <f t="shared" si="10"/>
        <v>DB 293Brąz refleks</v>
      </c>
    </row>
    <row r="530" spans="1:7" x14ac:dyDescent="0.35">
      <c r="A530">
        <v>293</v>
      </c>
      <c r="B530" t="s">
        <v>198</v>
      </c>
      <c r="C530">
        <v>5500</v>
      </c>
      <c r="D530" t="s">
        <v>151</v>
      </c>
      <c r="E530" t="s">
        <v>152</v>
      </c>
      <c r="F530" t="s">
        <v>8</v>
      </c>
      <c r="G530" t="str">
        <f t="shared" si="10"/>
        <v>DB 293Grafit refleks</v>
      </c>
    </row>
    <row r="531" spans="1:7" x14ac:dyDescent="0.35">
      <c r="A531">
        <v>293</v>
      </c>
      <c r="B531" t="s">
        <v>198</v>
      </c>
      <c r="C531">
        <v>5500</v>
      </c>
      <c r="D531" t="s">
        <v>151</v>
      </c>
      <c r="E531" t="s">
        <v>152</v>
      </c>
      <c r="F531" t="s">
        <v>43</v>
      </c>
      <c r="G531" t="str">
        <f t="shared" si="10"/>
        <v>DB 293Lustro weneckie</v>
      </c>
    </row>
    <row r="532" spans="1:7" x14ac:dyDescent="0.35">
      <c r="A532">
        <v>293</v>
      </c>
      <c r="B532" t="s">
        <v>198</v>
      </c>
      <c r="C532">
        <v>5700</v>
      </c>
      <c r="D532" t="s">
        <v>151</v>
      </c>
      <c r="E532" t="s">
        <v>152</v>
      </c>
      <c r="F532" t="s">
        <v>77</v>
      </c>
      <c r="G532" t="str">
        <f t="shared" si="10"/>
        <v>DB 293Mleczne</v>
      </c>
    </row>
    <row r="533" spans="1:7" x14ac:dyDescent="0.35">
      <c r="A533">
        <v>293</v>
      </c>
      <c r="B533" t="s">
        <v>198</v>
      </c>
      <c r="C533">
        <v>5700</v>
      </c>
      <c r="D533" t="s">
        <v>151</v>
      </c>
      <c r="E533" t="s">
        <v>152</v>
      </c>
      <c r="F533" t="s">
        <v>78</v>
      </c>
      <c r="G533" t="str">
        <f t="shared" si="10"/>
        <v>DB 293Piaskowane refleks</v>
      </c>
    </row>
    <row r="534" spans="1:7" x14ac:dyDescent="0.35">
      <c r="A534">
        <v>296</v>
      </c>
      <c r="B534" t="s">
        <v>199</v>
      </c>
      <c r="C534">
        <v>5400</v>
      </c>
      <c r="D534" t="s">
        <v>151</v>
      </c>
      <c r="E534" t="s">
        <v>152</v>
      </c>
      <c r="F534" t="s">
        <v>827</v>
      </c>
      <c r="G534" t="str">
        <f t="shared" si="10"/>
        <v>DB 296Przezierne</v>
      </c>
    </row>
    <row r="535" spans="1:7" x14ac:dyDescent="0.35">
      <c r="A535">
        <v>296</v>
      </c>
      <c r="B535" t="s">
        <v>199</v>
      </c>
      <c r="C535">
        <v>5400</v>
      </c>
      <c r="D535" t="s">
        <v>151</v>
      </c>
      <c r="E535" t="s">
        <v>152</v>
      </c>
      <c r="F535" t="s">
        <v>76</v>
      </c>
      <c r="G535" t="str">
        <f t="shared" si="10"/>
        <v>DB 296Brąz refleks</v>
      </c>
    </row>
    <row r="536" spans="1:7" x14ac:dyDescent="0.35">
      <c r="A536">
        <v>296</v>
      </c>
      <c r="B536" t="s">
        <v>199</v>
      </c>
      <c r="C536">
        <v>5500</v>
      </c>
      <c r="D536" t="s">
        <v>151</v>
      </c>
      <c r="E536" t="s">
        <v>152</v>
      </c>
      <c r="F536" t="s">
        <v>8</v>
      </c>
      <c r="G536" t="str">
        <f t="shared" si="10"/>
        <v>DB 296Grafit refleks</v>
      </c>
    </row>
    <row r="537" spans="1:7" x14ac:dyDescent="0.35">
      <c r="A537">
        <v>296</v>
      </c>
      <c r="B537" t="s">
        <v>199</v>
      </c>
      <c r="C537">
        <v>5500</v>
      </c>
      <c r="D537" t="s">
        <v>151</v>
      </c>
      <c r="E537" t="s">
        <v>152</v>
      </c>
      <c r="F537" t="s">
        <v>43</v>
      </c>
      <c r="G537" t="str">
        <f t="shared" si="10"/>
        <v>DB 296Lustro weneckie</v>
      </c>
    </row>
    <row r="538" spans="1:7" x14ac:dyDescent="0.35">
      <c r="A538">
        <v>296</v>
      </c>
      <c r="B538" t="s">
        <v>199</v>
      </c>
      <c r="C538">
        <v>5700</v>
      </c>
      <c r="D538" t="s">
        <v>151</v>
      </c>
      <c r="E538" t="s">
        <v>152</v>
      </c>
      <c r="F538" t="s">
        <v>77</v>
      </c>
      <c r="G538" t="str">
        <f t="shared" si="10"/>
        <v>DB 296Mleczne</v>
      </c>
    </row>
    <row r="539" spans="1:7" x14ac:dyDescent="0.35">
      <c r="A539">
        <v>296</v>
      </c>
      <c r="B539" t="s">
        <v>199</v>
      </c>
      <c r="C539">
        <v>5700</v>
      </c>
      <c r="D539" t="s">
        <v>151</v>
      </c>
      <c r="E539" t="s">
        <v>152</v>
      </c>
      <c r="F539" t="s">
        <v>78</v>
      </c>
      <c r="G539" t="str">
        <f t="shared" si="10"/>
        <v>DB 296Piaskowane refleks</v>
      </c>
    </row>
    <row r="540" spans="1:7" x14ac:dyDescent="0.35">
      <c r="A540">
        <v>297</v>
      </c>
      <c r="B540" t="s">
        <v>200</v>
      </c>
      <c r="C540">
        <v>5400</v>
      </c>
      <c r="D540" t="s">
        <v>151</v>
      </c>
      <c r="E540" t="s">
        <v>152</v>
      </c>
      <c r="F540" t="s">
        <v>827</v>
      </c>
      <c r="G540" t="str">
        <f t="shared" si="10"/>
        <v>DB 297Przezierne</v>
      </c>
    </row>
    <row r="541" spans="1:7" x14ac:dyDescent="0.35">
      <c r="A541">
        <v>297</v>
      </c>
      <c r="B541" t="s">
        <v>200</v>
      </c>
      <c r="C541">
        <v>5400</v>
      </c>
      <c r="D541" t="s">
        <v>151</v>
      </c>
      <c r="E541" t="s">
        <v>152</v>
      </c>
      <c r="F541" t="s">
        <v>76</v>
      </c>
      <c r="G541" t="str">
        <f t="shared" si="10"/>
        <v>DB 297Brąz refleks</v>
      </c>
    </row>
    <row r="542" spans="1:7" x14ac:dyDescent="0.35">
      <c r="A542">
        <v>297</v>
      </c>
      <c r="B542" t="s">
        <v>200</v>
      </c>
      <c r="C542">
        <v>5500</v>
      </c>
      <c r="D542" t="s">
        <v>151</v>
      </c>
      <c r="E542" t="s">
        <v>152</v>
      </c>
      <c r="F542" t="s">
        <v>8</v>
      </c>
      <c r="G542" t="str">
        <f t="shared" si="10"/>
        <v>DB 297Grafit refleks</v>
      </c>
    </row>
    <row r="543" spans="1:7" x14ac:dyDescent="0.35">
      <c r="A543">
        <v>297</v>
      </c>
      <c r="B543" t="s">
        <v>200</v>
      </c>
      <c r="C543">
        <v>5500</v>
      </c>
      <c r="D543" t="s">
        <v>151</v>
      </c>
      <c r="E543" t="s">
        <v>152</v>
      </c>
      <c r="F543" t="s">
        <v>43</v>
      </c>
      <c r="G543" t="str">
        <f t="shared" si="10"/>
        <v>DB 297Lustro weneckie</v>
      </c>
    </row>
    <row r="544" spans="1:7" x14ac:dyDescent="0.35">
      <c r="A544">
        <v>297</v>
      </c>
      <c r="B544" t="s">
        <v>200</v>
      </c>
      <c r="C544">
        <v>5700</v>
      </c>
      <c r="D544" t="s">
        <v>151</v>
      </c>
      <c r="E544" t="s">
        <v>152</v>
      </c>
      <c r="F544" t="s">
        <v>77</v>
      </c>
      <c r="G544" t="str">
        <f t="shared" si="10"/>
        <v>DB 297Mleczne</v>
      </c>
    </row>
    <row r="545" spans="1:8" x14ac:dyDescent="0.35">
      <c r="A545">
        <v>297</v>
      </c>
      <c r="B545" t="s">
        <v>200</v>
      </c>
      <c r="C545">
        <v>5700</v>
      </c>
      <c r="D545" t="s">
        <v>151</v>
      </c>
      <c r="E545" t="s">
        <v>152</v>
      </c>
      <c r="F545" t="s">
        <v>78</v>
      </c>
      <c r="G545" t="str">
        <f t="shared" si="10"/>
        <v>DB 297Piaskowane refleks</v>
      </c>
    </row>
    <row r="546" spans="1:8" x14ac:dyDescent="0.35">
      <c r="A546">
        <v>298</v>
      </c>
      <c r="B546" t="s">
        <v>201</v>
      </c>
      <c r="C546">
        <v>5400</v>
      </c>
      <c r="D546" t="s">
        <v>151</v>
      </c>
      <c r="E546" t="s">
        <v>152</v>
      </c>
      <c r="F546" t="s">
        <v>827</v>
      </c>
      <c r="G546" t="str">
        <f t="shared" si="10"/>
        <v>DB 298Przezierne</v>
      </c>
    </row>
    <row r="547" spans="1:8" x14ac:dyDescent="0.35">
      <c r="A547">
        <v>298</v>
      </c>
      <c r="B547" t="s">
        <v>201</v>
      </c>
      <c r="C547">
        <v>5400</v>
      </c>
      <c r="D547" t="s">
        <v>151</v>
      </c>
      <c r="E547" t="s">
        <v>152</v>
      </c>
      <c r="F547" t="s">
        <v>76</v>
      </c>
      <c r="G547" t="str">
        <f t="shared" si="10"/>
        <v>DB 298Brąz refleks</v>
      </c>
    </row>
    <row r="548" spans="1:8" x14ac:dyDescent="0.35">
      <c r="A548">
        <v>298</v>
      </c>
      <c r="B548" t="s">
        <v>201</v>
      </c>
      <c r="C548">
        <v>5500</v>
      </c>
      <c r="D548" t="s">
        <v>151</v>
      </c>
      <c r="E548" t="s">
        <v>152</v>
      </c>
      <c r="F548" t="s">
        <v>8</v>
      </c>
      <c r="G548" t="str">
        <f t="shared" si="10"/>
        <v>DB 298Grafit refleks</v>
      </c>
    </row>
    <row r="549" spans="1:8" x14ac:dyDescent="0.35">
      <c r="A549">
        <v>298</v>
      </c>
      <c r="B549" t="s">
        <v>201</v>
      </c>
      <c r="C549">
        <v>5500</v>
      </c>
      <c r="D549" t="s">
        <v>151</v>
      </c>
      <c r="E549" t="s">
        <v>152</v>
      </c>
      <c r="F549" t="s">
        <v>43</v>
      </c>
      <c r="G549" t="str">
        <f t="shared" si="10"/>
        <v>DB 298Lustro weneckie</v>
      </c>
    </row>
    <row r="550" spans="1:8" x14ac:dyDescent="0.35">
      <c r="A550">
        <v>298</v>
      </c>
      <c r="B550" t="s">
        <v>201</v>
      </c>
      <c r="C550">
        <v>5700</v>
      </c>
      <c r="D550" t="s">
        <v>151</v>
      </c>
      <c r="E550" t="s">
        <v>152</v>
      </c>
      <c r="F550" t="s">
        <v>77</v>
      </c>
      <c r="G550" t="str">
        <f t="shared" ref="G550:G612" si="11">B550&amp;F550</f>
        <v>DB 298Mleczne</v>
      </c>
    </row>
    <row r="551" spans="1:8" x14ac:dyDescent="0.35">
      <c r="A551">
        <v>298</v>
      </c>
      <c r="B551" t="s">
        <v>201</v>
      </c>
      <c r="C551">
        <v>5700</v>
      </c>
      <c r="D551" t="s">
        <v>151</v>
      </c>
      <c r="E551" t="s">
        <v>152</v>
      </c>
      <c r="F551" t="s">
        <v>78</v>
      </c>
      <c r="G551" t="str">
        <f t="shared" si="11"/>
        <v>DB 298Piaskowane refleks</v>
      </c>
    </row>
    <row r="552" spans="1:8" x14ac:dyDescent="0.35">
      <c r="A552">
        <v>299</v>
      </c>
      <c r="B552" t="s">
        <v>202</v>
      </c>
      <c r="C552">
        <v>5400</v>
      </c>
      <c r="D552" t="s">
        <v>151</v>
      </c>
      <c r="E552" t="s">
        <v>152</v>
      </c>
      <c r="F552" t="s">
        <v>827</v>
      </c>
      <c r="G552" t="str">
        <f t="shared" si="11"/>
        <v>DB 299Przezierne</v>
      </c>
    </row>
    <row r="553" spans="1:8" x14ac:dyDescent="0.35">
      <c r="A553">
        <v>299</v>
      </c>
      <c r="B553" t="s">
        <v>202</v>
      </c>
      <c r="C553">
        <v>5400</v>
      </c>
      <c r="D553" t="s">
        <v>151</v>
      </c>
      <c r="E553" t="s">
        <v>152</v>
      </c>
      <c r="F553" t="s">
        <v>76</v>
      </c>
      <c r="G553" t="str">
        <f t="shared" si="11"/>
        <v>DB 299Brąz refleks</v>
      </c>
    </row>
    <row r="554" spans="1:8" x14ac:dyDescent="0.35">
      <c r="A554">
        <v>299</v>
      </c>
      <c r="B554" t="s">
        <v>202</v>
      </c>
      <c r="C554">
        <v>5500</v>
      </c>
      <c r="D554" t="s">
        <v>151</v>
      </c>
      <c r="E554" t="s">
        <v>152</v>
      </c>
      <c r="F554" t="s">
        <v>8</v>
      </c>
      <c r="G554" t="str">
        <f t="shared" si="11"/>
        <v>DB 299Grafit refleks</v>
      </c>
    </row>
    <row r="555" spans="1:8" x14ac:dyDescent="0.35">
      <c r="A555">
        <v>299</v>
      </c>
      <c r="B555" t="s">
        <v>202</v>
      </c>
      <c r="C555">
        <v>5500</v>
      </c>
      <c r="D555" t="s">
        <v>151</v>
      </c>
      <c r="E555" t="s">
        <v>152</v>
      </c>
      <c r="F555" t="s">
        <v>43</v>
      </c>
      <c r="G555" t="str">
        <f t="shared" si="11"/>
        <v>DB 299Lustro weneckie</v>
      </c>
    </row>
    <row r="556" spans="1:8" x14ac:dyDescent="0.35">
      <c r="A556">
        <v>299</v>
      </c>
      <c r="B556" t="s">
        <v>202</v>
      </c>
      <c r="C556">
        <v>5700</v>
      </c>
      <c r="D556" t="s">
        <v>151</v>
      </c>
      <c r="E556" t="s">
        <v>152</v>
      </c>
      <c r="F556" t="s">
        <v>77</v>
      </c>
      <c r="G556" t="str">
        <f t="shared" si="11"/>
        <v>DB 299Mleczne</v>
      </c>
    </row>
    <row r="557" spans="1:8" x14ac:dyDescent="0.35">
      <c r="A557">
        <v>325</v>
      </c>
      <c r="B557" t="s">
        <v>203</v>
      </c>
      <c r="C557">
        <v>5600</v>
      </c>
      <c r="D557" t="s">
        <v>151</v>
      </c>
      <c r="E557" t="s">
        <v>204</v>
      </c>
      <c r="F557" t="s">
        <v>827</v>
      </c>
      <c r="G557" t="str">
        <f t="shared" si="11"/>
        <v>DB 325aPrzezierne</v>
      </c>
      <c r="H557">
        <v>200</v>
      </c>
    </row>
    <row r="558" spans="1:8" x14ac:dyDescent="0.35">
      <c r="A558">
        <v>325</v>
      </c>
      <c r="B558" t="s">
        <v>203</v>
      </c>
      <c r="C558">
        <v>5600</v>
      </c>
      <c r="D558" t="s">
        <v>151</v>
      </c>
      <c r="E558" t="s">
        <v>204</v>
      </c>
      <c r="F558" t="s">
        <v>76</v>
      </c>
      <c r="G558" t="str">
        <f t="shared" si="11"/>
        <v>DB 325aBrąz refleks</v>
      </c>
      <c r="H558">
        <v>200</v>
      </c>
    </row>
    <row r="559" spans="1:8" x14ac:dyDescent="0.35">
      <c r="A559">
        <v>325</v>
      </c>
      <c r="B559" t="s">
        <v>203</v>
      </c>
      <c r="C559">
        <v>5700</v>
      </c>
      <c r="D559" t="s">
        <v>151</v>
      </c>
      <c r="E559" t="s">
        <v>204</v>
      </c>
      <c r="F559" t="s">
        <v>8</v>
      </c>
      <c r="G559" t="str">
        <f t="shared" si="11"/>
        <v>DB 325aGrafit refleks</v>
      </c>
      <c r="H559">
        <v>200</v>
      </c>
    </row>
    <row r="560" spans="1:8" x14ac:dyDescent="0.35">
      <c r="A560">
        <v>325</v>
      </c>
      <c r="B560" t="s">
        <v>203</v>
      </c>
      <c r="C560">
        <v>5700</v>
      </c>
      <c r="D560" t="s">
        <v>151</v>
      </c>
      <c r="E560" t="s">
        <v>204</v>
      </c>
      <c r="F560" t="s">
        <v>43</v>
      </c>
      <c r="G560" t="str">
        <f t="shared" si="11"/>
        <v>DB 325aLustro weneckie</v>
      </c>
      <c r="H560">
        <v>200</v>
      </c>
    </row>
    <row r="561" spans="1:8" x14ac:dyDescent="0.35">
      <c r="A561">
        <v>325</v>
      </c>
      <c r="B561" t="s">
        <v>203</v>
      </c>
      <c r="C561">
        <v>5900</v>
      </c>
      <c r="D561" t="s">
        <v>151</v>
      </c>
      <c r="E561" t="s">
        <v>204</v>
      </c>
      <c r="F561" t="s">
        <v>77</v>
      </c>
      <c r="G561" t="str">
        <f t="shared" si="11"/>
        <v>DB 325aMleczne</v>
      </c>
      <c r="H561">
        <v>200</v>
      </c>
    </row>
    <row r="562" spans="1:8" x14ac:dyDescent="0.35">
      <c r="A562">
        <v>325</v>
      </c>
      <c r="B562" t="s">
        <v>203</v>
      </c>
      <c r="C562">
        <v>5900</v>
      </c>
      <c r="D562" t="s">
        <v>151</v>
      </c>
      <c r="E562" t="s">
        <v>204</v>
      </c>
      <c r="F562" t="s">
        <v>78</v>
      </c>
      <c r="G562" t="str">
        <f t="shared" si="11"/>
        <v>DB 325aPiaskowane refleks</v>
      </c>
      <c r="H562">
        <v>200</v>
      </c>
    </row>
    <row r="563" spans="1:8" x14ac:dyDescent="0.35">
      <c r="A563">
        <v>326</v>
      </c>
      <c r="B563" t="s">
        <v>205</v>
      </c>
      <c r="C563">
        <v>5600</v>
      </c>
      <c r="D563" t="s">
        <v>151</v>
      </c>
      <c r="E563" t="s">
        <v>204</v>
      </c>
      <c r="F563" t="s">
        <v>827</v>
      </c>
      <c r="G563" t="str">
        <f t="shared" si="11"/>
        <v>DB 326Przezierne</v>
      </c>
      <c r="H563">
        <v>200</v>
      </c>
    </row>
    <row r="564" spans="1:8" x14ac:dyDescent="0.35">
      <c r="A564">
        <v>326</v>
      </c>
      <c r="B564" t="s">
        <v>205</v>
      </c>
      <c r="C564">
        <v>5600</v>
      </c>
      <c r="D564" t="s">
        <v>151</v>
      </c>
      <c r="E564" t="s">
        <v>204</v>
      </c>
      <c r="F564" t="s">
        <v>76</v>
      </c>
      <c r="G564" t="str">
        <f t="shared" si="11"/>
        <v>DB 326Brąz refleks</v>
      </c>
      <c r="H564">
        <v>200</v>
      </c>
    </row>
    <row r="565" spans="1:8" x14ac:dyDescent="0.35">
      <c r="A565">
        <v>326</v>
      </c>
      <c r="B565" t="s">
        <v>205</v>
      </c>
      <c r="C565">
        <v>5700</v>
      </c>
      <c r="D565" t="s">
        <v>151</v>
      </c>
      <c r="E565" t="s">
        <v>204</v>
      </c>
      <c r="F565" t="s">
        <v>8</v>
      </c>
      <c r="G565" t="str">
        <f t="shared" si="11"/>
        <v>DB 326Grafit refleks</v>
      </c>
      <c r="H565">
        <v>200</v>
      </c>
    </row>
    <row r="566" spans="1:8" x14ac:dyDescent="0.35">
      <c r="A566">
        <v>326</v>
      </c>
      <c r="B566" t="s">
        <v>205</v>
      </c>
      <c r="C566">
        <v>5700</v>
      </c>
      <c r="D566" t="s">
        <v>151</v>
      </c>
      <c r="E566" t="s">
        <v>204</v>
      </c>
      <c r="F566" t="s">
        <v>43</v>
      </c>
      <c r="G566" t="str">
        <f t="shared" si="11"/>
        <v>DB 326Lustro weneckie</v>
      </c>
      <c r="H566">
        <v>200</v>
      </c>
    </row>
    <row r="567" spans="1:8" x14ac:dyDescent="0.35">
      <c r="A567">
        <v>326</v>
      </c>
      <c r="B567" t="s">
        <v>205</v>
      </c>
      <c r="C567">
        <v>5900</v>
      </c>
      <c r="D567" t="s">
        <v>151</v>
      </c>
      <c r="E567" t="s">
        <v>204</v>
      </c>
      <c r="F567" t="s">
        <v>77</v>
      </c>
      <c r="G567" t="str">
        <f t="shared" si="11"/>
        <v>DB 326Mleczne</v>
      </c>
      <c r="H567">
        <v>200</v>
      </c>
    </row>
    <row r="568" spans="1:8" x14ac:dyDescent="0.35">
      <c r="A568">
        <v>327</v>
      </c>
      <c r="B568" t="s">
        <v>206</v>
      </c>
      <c r="C568">
        <v>5600</v>
      </c>
      <c r="D568" t="s">
        <v>151</v>
      </c>
      <c r="E568" t="s">
        <v>204</v>
      </c>
      <c r="F568" t="s">
        <v>827</v>
      </c>
      <c r="G568" t="str">
        <f t="shared" si="11"/>
        <v>DB 327Przezierne</v>
      </c>
      <c r="H568">
        <v>200</v>
      </c>
    </row>
    <row r="569" spans="1:8" x14ac:dyDescent="0.35">
      <c r="A569">
        <v>327</v>
      </c>
      <c r="B569" t="s">
        <v>206</v>
      </c>
      <c r="C569">
        <v>5600</v>
      </c>
      <c r="D569" t="s">
        <v>151</v>
      </c>
      <c r="E569" t="s">
        <v>204</v>
      </c>
      <c r="F569" t="s">
        <v>76</v>
      </c>
      <c r="G569" t="str">
        <f t="shared" si="11"/>
        <v>DB 327Brąz refleks</v>
      </c>
      <c r="H569">
        <v>200</v>
      </c>
    </row>
    <row r="570" spans="1:8" x14ac:dyDescent="0.35">
      <c r="A570">
        <v>327</v>
      </c>
      <c r="B570" t="s">
        <v>206</v>
      </c>
      <c r="C570">
        <v>5700</v>
      </c>
      <c r="D570" t="s">
        <v>151</v>
      </c>
      <c r="E570" t="s">
        <v>204</v>
      </c>
      <c r="F570" t="s">
        <v>8</v>
      </c>
      <c r="G570" t="str">
        <f t="shared" si="11"/>
        <v>DB 327Grafit refleks</v>
      </c>
      <c r="H570">
        <v>200</v>
      </c>
    </row>
    <row r="571" spans="1:8" x14ac:dyDescent="0.35">
      <c r="A571">
        <v>327</v>
      </c>
      <c r="B571" t="s">
        <v>206</v>
      </c>
      <c r="C571">
        <v>5700</v>
      </c>
      <c r="D571" t="s">
        <v>151</v>
      </c>
      <c r="E571" t="s">
        <v>204</v>
      </c>
      <c r="F571" t="s">
        <v>43</v>
      </c>
      <c r="G571" t="str">
        <f t="shared" si="11"/>
        <v>DB 327Lustro weneckie</v>
      </c>
      <c r="H571">
        <v>200</v>
      </c>
    </row>
    <row r="572" spans="1:8" x14ac:dyDescent="0.35">
      <c r="A572">
        <v>327</v>
      </c>
      <c r="B572" t="s">
        <v>206</v>
      </c>
      <c r="C572">
        <v>5900</v>
      </c>
      <c r="D572" t="s">
        <v>151</v>
      </c>
      <c r="E572" t="s">
        <v>204</v>
      </c>
      <c r="F572" t="s">
        <v>77</v>
      </c>
      <c r="G572" t="str">
        <f t="shared" si="11"/>
        <v>DB 327Mleczne</v>
      </c>
      <c r="H572">
        <v>200</v>
      </c>
    </row>
    <row r="573" spans="1:8" x14ac:dyDescent="0.35">
      <c r="A573">
        <v>328</v>
      </c>
      <c r="B573" t="s">
        <v>207</v>
      </c>
      <c r="C573">
        <v>5600</v>
      </c>
      <c r="D573" t="s">
        <v>151</v>
      </c>
      <c r="E573" t="s">
        <v>204</v>
      </c>
      <c r="F573" t="s">
        <v>827</v>
      </c>
      <c r="G573" t="str">
        <f t="shared" si="11"/>
        <v>DB 328Przezierne</v>
      </c>
      <c r="H573">
        <v>200</v>
      </c>
    </row>
    <row r="574" spans="1:8" x14ac:dyDescent="0.35">
      <c r="A574">
        <v>328</v>
      </c>
      <c r="B574" t="s">
        <v>207</v>
      </c>
      <c r="C574">
        <v>5600</v>
      </c>
      <c r="D574" t="s">
        <v>151</v>
      </c>
      <c r="E574" t="s">
        <v>204</v>
      </c>
      <c r="F574" t="s">
        <v>76</v>
      </c>
      <c r="G574" t="str">
        <f t="shared" si="11"/>
        <v>DB 328Brąz refleks</v>
      </c>
      <c r="H574">
        <v>200</v>
      </c>
    </row>
    <row r="575" spans="1:8" x14ac:dyDescent="0.35">
      <c r="A575">
        <v>328</v>
      </c>
      <c r="B575" t="s">
        <v>207</v>
      </c>
      <c r="C575">
        <v>5700</v>
      </c>
      <c r="D575" t="s">
        <v>151</v>
      </c>
      <c r="E575" t="s">
        <v>204</v>
      </c>
      <c r="F575" t="s">
        <v>8</v>
      </c>
      <c r="G575" t="str">
        <f t="shared" si="11"/>
        <v>DB 328Grafit refleks</v>
      </c>
      <c r="H575">
        <v>200</v>
      </c>
    </row>
    <row r="576" spans="1:8" x14ac:dyDescent="0.35">
      <c r="A576">
        <v>328</v>
      </c>
      <c r="B576" t="s">
        <v>207</v>
      </c>
      <c r="C576">
        <v>5400</v>
      </c>
      <c r="D576" t="s">
        <v>151</v>
      </c>
      <c r="E576" t="s">
        <v>204</v>
      </c>
      <c r="F576" t="s">
        <v>43</v>
      </c>
      <c r="G576" t="str">
        <f t="shared" si="11"/>
        <v>DB 328Lustro weneckie</v>
      </c>
      <c r="H576">
        <v>200</v>
      </c>
    </row>
    <row r="577" spans="1:8" x14ac:dyDescent="0.35">
      <c r="A577">
        <v>328</v>
      </c>
      <c r="B577" t="s">
        <v>207</v>
      </c>
      <c r="C577">
        <v>5900</v>
      </c>
      <c r="D577" t="s">
        <v>151</v>
      </c>
      <c r="E577" t="s">
        <v>204</v>
      </c>
      <c r="F577" t="s">
        <v>77</v>
      </c>
      <c r="G577" t="str">
        <f t="shared" si="11"/>
        <v>DB 328Mleczne</v>
      </c>
      <c r="H577">
        <v>200</v>
      </c>
    </row>
    <row r="578" spans="1:8" x14ac:dyDescent="0.35">
      <c r="A578">
        <v>328</v>
      </c>
      <c r="B578" t="s">
        <v>207</v>
      </c>
      <c r="C578">
        <v>5900</v>
      </c>
      <c r="D578" t="s">
        <v>151</v>
      </c>
      <c r="E578" t="s">
        <v>204</v>
      </c>
      <c r="F578" t="s">
        <v>78</v>
      </c>
      <c r="G578" t="str">
        <f t="shared" si="11"/>
        <v>DB 328Piaskowane refleks</v>
      </c>
      <c r="H578">
        <v>200</v>
      </c>
    </row>
    <row r="579" spans="1:8" x14ac:dyDescent="0.35">
      <c r="A579">
        <v>329</v>
      </c>
      <c r="B579" t="s">
        <v>208</v>
      </c>
      <c r="C579">
        <v>5800</v>
      </c>
      <c r="D579" t="s">
        <v>151</v>
      </c>
      <c r="E579" t="s">
        <v>204</v>
      </c>
      <c r="F579" t="s">
        <v>827</v>
      </c>
      <c r="G579" t="str">
        <f t="shared" si="11"/>
        <v>DB 329Przezierne</v>
      </c>
      <c r="H579">
        <v>200</v>
      </c>
    </row>
    <row r="580" spans="1:8" x14ac:dyDescent="0.35">
      <c r="A580">
        <v>329</v>
      </c>
      <c r="B580" t="s">
        <v>208</v>
      </c>
      <c r="C580">
        <v>5800</v>
      </c>
      <c r="D580" t="s">
        <v>151</v>
      </c>
      <c r="E580" t="s">
        <v>204</v>
      </c>
      <c r="F580" t="s">
        <v>76</v>
      </c>
      <c r="G580" t="str">
        <f t="shared" si="11"/>
        <v>DB 329Brąz refleks</v>
      </c>
      <c r="H580">
        <v>200</v>
      </c>
    </row>
    <row r="581" spans="1:8" x14ac:dyDescent="0.35">
      <c r="A581">
        <v>329</v>
      </c>
      <c r="B581" t="s">
        <v>208</v>
      </c>
      <c r="C581">
        <v>5900</v>
      </c>
      <c r="D581" t="s">
        <v>151</v>
      </c>
      <c r="E581" t="s">
        <v>204</v>
      </c>
      <c r="F581" t="s">
        <v>8</v>
      </c>
      <c r="G581" t="str">
        <f t="shared" si="11"/>
        <v>DB 329Grafit refleks</v>
      </c>
      <c r="H581">
        <v>200</v>
      </c>
    </row>
    <row r="582" spans="1:8" x14ac:dyDescent="0.35">
      <c r="A582">
        <v>329</v>
      </c>
      <c r="B582" t="s">
        <v>208</v>
      </c>
      <c r="C582">
        <v>5900</v>
      </c>
      <c r="D582" t="s">
        <v>151</v>
      </c>
      <c r="E582" t="s">
        <v>204</v>
      </c>
      <c r="F582" t="s">
        <v>43</v>
      </c>
      <c r="G582" t="str">
        <f t="shared" si="11"/>
        <v>DB 329Lustro weneckie</v>
      </c>
      <c r="H582">
        <v>200</v>
      </c>
    </row>
    <row r="583" spans="1:8" x14ac:dyDescent="0.35">
      <c r="A583">
        <v>329</v>
      </c>
      <c r="B583" t="s">
        <v>208</v>
      </c>
      <c r="C583">
        <v>6100</v>
      </c>
      <c r="D583" t="s">
        <v>151</v>
      </c>
      <c r="E583" t="s">
        <v>204</v>
      </c>
      <c r="F583" t="s">
        <v>77</v>
      </c>
      <c r="G583" t="str">
        <f t="shared" si="11"/>
        <v>DB 329Mleczne</v>
      </c>
      <c r="H583">
        <v>200</v>
      </c>
    </row>
    <row r="584" spans="1:8" x14ac:dyDescent="0.35">
      <c r="A584">
        <v>330</v>
      </c>
      <c r="B584" t="s">
        <v>209</v>
      </c>
      <c r="C584">
        <v>5800</v>
      </c>
      <c r="D584" t="s">
        <v>151</v>
      </c>
      <c r="E584" t="s">
        <v>204</v>
      </c>
      <c r="F584" t="s">
        <v>827</v>
      </c>
      <c r="G584" t="str">
        <f t="shared" si="11"/>
        <v>DB 330Przezierne</v>
      </c>
      <c r="H584">
        <v>200</v>
      </c>
    </row>
    <row r="585" spans="1:8" x14ac:dyDescent="0.35">
      <c r="A585">
        <v>330</v>
      </c>
      <c r="B585" t="s">
        <v>209</v>
      </c>
      <c r="C585">
        <v>5800</v>
      </c>
      <c r="D585" t="s">
        <v>151</v>
      </c>
      <c r="E585" t="s">
        <v>204</v>
      </c>
      <c r="F585" t="s">
        <v>76</v>
      </c>
      <c r="G585" t="str">
        <f t="shared" si="11"/>
        <v>DB 330Brąz refleks</v>
      </c>
      <c r="H585">
        <v>200</v>
      </c>
    </row>
    <row r="586" spans="1:8" x14ac:dyDescent="0.35">
      <c r="A586">
        <v>330</v>
      </c>
      <c r="B586" t="s">
        <v>209</v>
      </c>
      <c r="C586">
        <v>5900</v>
      </c>
      <c r="D586" t="s">
        <v>151</v>
      </c>
      <c r="E586" t="s">
        <v>204</v>
      </c>
      <c r="F586" t="s">
        <v>8</v>
      </c>
      <c r="G586" t="str">
        <f t="shared" si="11"/>
        <v>DB 330Grafit refleks</v>
      </c>
      <c r="H586">
        <v>200</v>
      </c>
    </row>
    <row r="587" spans="1:8" x14ac:dyDescent="0.35">
      <c r="A587">
        <v>330</v>
      </c>
      <c r="B587" t="s">
        <v>209</v>
      </c>
      <c r="C587">
        <v>5900</v>
      </c>
      <c r="D587" t="s">
        <v>151</v>
      </c>
      <c r="E587" t="s">
        <v>204</v>
      </c>
      <c r="F587" t="s">
        <v>43</v>
      </c>
      <c r="G587" t="str">
        <f t="shared" si="11"/>
        <v>DB 330Lustro weneckie</v>
      </c>
      <c r="H587">
        <v>200</v>
      </c>
    </row>
    <row r="588" spans="1:8" x14ac:dyDescent="0.35">
      <c r="A588">
        <v>330</v>
      </c>
      <c r="B588" t="s">
        <v>209</v>
      </c>
      <c r="C588">
        <v>6100</v>
      </c>
      <c r="D588" t="s">
        <v>151</v>
      </c>
      <c r="E588" t="s">
        <v>204</v>
      </c>
      <c r="F588" t="s">
        <v>77</v>
      </c>
      <c r="G588" t="str">
        <f t="shared" si="11"/>
        <v>DB 330Mleczne</v>
      </c>
      <c r="H588">
        <v>200</v>
      </c>
    </row>
    <row r="589" spans="1:8" x14ac:dyDescent="0.35">
      <c r="A589">
        <v>331</v>
      </c>
      <c r="B589" t="s">
        <v>210</v>
      </c>
      <c r="C589">
        <v>5800</v>
      </c>
      <c r="D589" t="s">
        <v>151</v>
      </c>
      <c r="E589" t="s">
        <v>204</v>
      </c>
      <c r="F589" t="s">
        <v>827</v>
      </c>
      <c r="G589" t="str">
        <f t="shared" si="11"/>
        <v>DB 331Przezierne</v>
      </c>
      <c r="H589">
        <v>300</v>
      </c>
    </row>
    <row r="590" spans="1:8" x14ac:dyDescent="0.35">
      <c r="A590">
        <v>331</v>
      </c>
      <c r="B590" t="s">
        <v>210</v>
      </c>
      <c r="C590">
        <v>5800</v>
      </c>
      <c r="D590" t="s">
        <v>151</v>
      </c>
      <c r="E590" t="s">
        <v>204</v>
      </c>
      <c r="F590" t="s">
        <v>76</v>
      </c>
      <c r="G590" t="str">
        <f t="shared" si="11"/>
        <v>DB 331Brąz refleks</v>
      </c>
      <c r="H590">
        <v>300</v>
      </c>
    </row>
    <row r="591" spans="1:8" x14ac:dyDescent="0.35">
      <c r="A591">
        <v>331</v>
      </c>
      <c r="B591" t="s">
        <v>210</v>
      </c>
      <c r="C591">
        <v>5900</v>
      </c>
      <c r="D591" t="s">
        <v>151</v>
      </c>
      <c r="E591" t="s">
        <v>204</v>
      </c>
      <c r="F591" t="s">
        <v>8</v>
      </c>
      <c r="G591" t="str">
        <f t="shared" si="11"/>
        <v>DB 331Grafit refleks</v>
      </c>
      <c r="H591">
        <v>300</v>
      </c>
    </row>
    <row r="592" spans="1:8" x14ac:dyDescent="0.35">
      <c r="A592">
        <v>331</v>
      </c>
      <c r="B592" t="s">
        <v>210</v>
      </c>
      <c r="C592">
        <v>5900</v>
      </c>
      <c r="D592" t="s">
        <v>151</v>
      </c>
      <c r="E592" t="s">
        <v>204</v>
      </c>
      <c r="F592" t="s">
        <v>43</v>
      </c>
      <c r="G592" t="str">
        <f t="shared" si="11"/>
        <v>DB 331Lustro weneckie</v>
      </c>
      <c r="H592">
        <v>300</v>
      </c>
    </row>
    <row r="593" spans="1:8" x14ac:dyDescent="0.35">
      <c r="A593">
        <v>331</v>
      </c>
      <c r="B593" t="s">
        <v>210</v>
      </c>
      <c r="C593">
        <v>6100</v>
      </c>
      <c r="D593" t="s">
        <v>151</v>
      </c>
      <c r="E593" t="s">
        <v>204</v>
      </c>
      <c r="F593" t="s">
        <v>77</v>
      </c>
      <c r="G593" t="str">
        <f t="shared" si="11"/>
        <v>DB 331Mleczne</v>
      </c>
      <c r="H593">
        <v>300</v>
      </c>
    </row>
    <row r="594" spans="1:8" x14ac:dyDescent="0.35">
      <c r="A594">
        <v>332</v>
      </c>
      <c r="B594" t="s">
        <v>211</v>
      </c>
      <c r="C594">
        <v>5800</v>
      </c>
      <c r="D594" t="s">
        <v>151</v>
      </c>
      <c r="E594" t="s">
        <v>204</v>
      </c>
      <c r="F594" t="s">
        <v>827</v>
      </c>
      <c r="G594" t="str">
        <f t="shared" si="11"/>
        <v>DB 332Przezierne</v>
      </c>
      <c r="H594">
        <v>300</v>
      </c>
    </row>
    <row r="595" spans="1:8" x14ac:dyDescent="0.35">
      <c r="A595">
        <v>332</v>
      </c>
      <c r="B595" t="s">
        <v>211</v>
      </c>
      <c r="C595">
        <v>5800</v>
      </c>
      <c r="D595" t="s">
        <v>151</v>
      </c>
      <c r="E595" t="s">
        <v>204</v>
      </c>
      <c r="F595" t="s">
        <v>76</v>
      </c>
      <c r="G595" t="str">
        <f t="shared" si="11"/>
        <v>DB 332Brąz refleks</v>
      </c>
      <c r="H595">
        <v>300</v>
      </c>
    </row>
    <row r="596" spans="1:8" x14ac:dyDescent="0.35">
      <c r="A596">
        <v>332</v>
      </c>
      <c r="B596" t="s">
        <v>211</v>
      </c>
      <c r="C596">
        <v>5900</v>
      </c>
      <c r="D596" t="s">
        <v>151</v>
      </c>
      <c r="E596" t="s">
        <v>204</v>
      </c>
      <c r="F596" t="s">
        <v>8</v>
      </c>
      <c r="G596" t="str">
        <f t="shared" si="11"/>
        <v>DB 332Grafit refleks</v>
      </c>
      <c r="H596">
        <v>300</v>
      </c>
    </row>
    <row r="597" spans="1:8" x14ac:dyDescent="0.35">
      <c r="A597">
        <v>332</v>
      </c>
      <c r="B597" t="s">
        <v>211</v>
      </c>
      <c r="C597">
        <v>5900</v>
      </c>
      <c r="D597" t="s">
        <v>151</v>
      </c>
      <c r="E597" t="s">
        <v>204</v>
      </c>
      <c r="F597" t="s">
        <v>43</v>
      </c>
      <c r="G597" t="str">
        <f t="shared" si="11"/>
        <v>DB 332Lustro weneckie</v>
      </c>
      <c r="H597">
        <v>300</v>
      </c>
    </row>
    <row r="598" spans="1:8" x14ac:dyDescent="0.35">
      <c r="A598">
        <v>332</v>
      </c>
      <c r="B598" t="s">
        <v>211</v>
      </c>
      <c r="C598">
        <v>6100</v>
      </c>
      <c r="D598" t="s">
        <v>151</v>
      </c>
      <c r="E598" t="s">
        <v>204</v>
      </c>
      <c r="F598" t="s">
        <v>77</v>
      </c>
      <c r="G598" t="str">
        <f t="shared" si="11"/>
        <v>DB 332Mleczne</v>
      </c>
      <c r="H598">
        <v>300</v>
      </c>
    </row>
    <row r="599" spans="1:8" x14ac:dyDescent="0.35">
      <c r="A599">
        <v>332</v>
      </c>
      <c r="B599" t="s">
        <v>211</v>
      </c>
      <c r="C599">
        <v>6100</v>
      </c>
      <c r="D599" t="s">
        <v>151</v>
      </c>
      <c r="E599" t="s">
        <v>204</v>
      </c>
      <c r="F599" t="s">
        <v>78</v>
      </c>
      <c r="G599" t="str">
        <f t="shared" si="11"/>
        <v>DB 332Piaskowane refleks</v>
      </c>
      <c r="H599">
        <v>300</v>
      </c>
    </row>
    <row r="600" spans="1:8" x14ac:dyDescent="0.35">
      <c r="A600">
        <v>333</v>
      </c>
      <c r="B600" t="s">
        <v>212</v>
      </c>
      <c r="C600">
        <v>5200</v>
      </c>
      <c r="D600" t="s">
        <v>151</v>
      </c>
      <c r="E600" t="s">
        <v>204</v>
      </c>
      <c r="F600" t="s">
        <v>97</v>
      </c>
      <c r="G600" t="str">
        <f t="shared" si="11"/>
        <v>DB 333Brak (pełne)</v>
      </c>
      <c r="H600">
        <v>200</v>
      </c>
    </row>
    <row r="601" spans="1:8" x14ac:dyDescent="0.35">
      <c r="A601">
        <v>334</v>
      </c>
      <c r="B601" t="s">
        <v>213</v>
      </c>
      <c r="C601">
        <v>5600</v>
      </c>
      <c r="D601" t="s">
        <v>151</v>
      </c>
      <c r="E601" t="s">
        <v>204</v>
      </c>
      <c r="F601" t="s">
        <v>827</v>
      </c>
      <c r="G601" t="str">
        <f t="shared" si="11"/>
        <v>DB 334Przezierne</v>
      </c>
      <c r="H601">
        <v>200</v>
      </c>
    </row>
    <row r="602" spans="1:8" x14ac:dyDescent="0.35">
      <c r="A602">
        <v>334</v>
      </c>
      <c r="B602" t="s">
        <v>213</v>
      </c>
      <c r="C602">
        <v>5600</v>
      </c>
      <c r="D602" t="s">
        <v>151</v>
      </c>
      <c r="E602" t="s">
        <v>204</v>
      </c>
      <c r="F602" t="s">
        <v>76</v>
      </c>
      <c r="G602" t="str">
        <f t="shared" si="11"/>
        <v>DB 334Brąz refleks</v>
      </c>
      <c r="H602">
        <v>200</v>
      </c>
    </row>
    <row r="603" spans="1:8" x14ac:dyDescent="0.35">
      <c r="A603">
        <v>334</v>
      </c>
      <c r="B603" t="s">
        <v>213</v>
      </c>
      <c r="C603">
        <v>5700</v>
      </c>
      <c r="D603" t="s">
        <v>151</v>
      </c>
      <c r="E603" t="s">
        <v>204</v>
      </c>
      <c r="F603" t="s">
        <v>8</v>
      </c>
      <c r="G603" t="str">
        <f t="shared" si="11"/>
        <v>DB 334Grafit refleks</v>
      </c>
      <c r="H603">
        <v>200</v>
      </c>
    </row>
    <row r="604" spans="1:8" x14ac:dyDescent="0.35">
      <c r="A604">
        <v>334</v>
      </c>
      <c r="B604" t="s">
        <v>213</v>
      </c>
      <c r="C604">
        <v>5700</v>
      </c>
      <c r="D604" t="s">
        <v>151</v>
      </c>
      <c r="E604" t="s">
        <v>204</v>
      </c>
      <c r="F604" t="s">
        <v>43</v>
      </c>
      <c r="G604" t="str">
        <f t="shared" si="11"/>
        <v>DB 334Lustro weneckie</v>
      </c>
      <c r="H604">
        <v>200</v>
      </c>
    </row>
    <row r="605" spans="1:8" x14ac:dyDescent="0.35">
      <c r="A605">
        <v>334</v>
      </c>
      <c r="B605" t="s">
        <v>213</v>
      </c>
      <c r="C605">
        <v>5900</v>
      </c>
      <c r="D605" t="s">
        <v>151</v>
      </c>
      <c r="E605" t="s">
        <v>204</v>
      </c>
      <c r="F605" t="s">
        <v>77</v>
      </c>
      <c r="G605" t="str">
        <f t="shared" si="11"/>
        <v>DB 334Mleczne</v>
      </c>
      <c r="H605">
        <v>200</v>
      </c>
    </row>
    <row r="606" spans="1:8" x14ac:dyDescent="0.35">
      <c r="A606">
        <v>338</v>
      </c>
      <c r="B606" t="s">
        <v>214</v>
      </c>
      <c r="C606">
        <v>5800</v>
      </c>
      <c r="D606" t="s">
        <v>151</v>
      </c>
      <c r="E606" t="s">
        <v>204</v>
      </c>
      <c r="F606" t="s">
        <v>827</v>
      </c>
      <c r="G606" t="str">
        <f t="shared" si="11"/>
        <v>DB 338Przezierne</v>
      </c>
      <c r="H606">
        <v>300</v>
      </c>
    </row>
    <row r="607" spans="1:8" x14ac:dyDescent="0.35">
      <c r="A607">
        <v>338</v>
      </c>
      <c r="B607" t="s">
        <v>214</v>
      </c>
      <c r="C607">
        <v>5800</v>
      </c>
      <c r="D607" t="s">
        <v>151</v>
      </c>
      <c r="E607" t="s">
        <v>204</v>
      </c>
      <c r="F607" t="s">
        <v>76</v>
      </c>
      <c r="G607" t="str">
        <f t="shared" si="11"/>
        <v>DB 338Brąz refleks</v>
      </c>
      <c r="H607">
        <v>300</v>
      </c>
    </row>
    <row r="608" spans="1:8" x14ac:dyDescent="0.35">
      <c r="A608">
        <v>338</v>
      </c>
      <c r="B608" t="s">
        <v>214</v>
      </c>
      <c r="C608">
        <v>5900</v>
      </c>
      <c r="D608" t="s">
        <v>151</v>
      </c>
      <c r="E608" t="s">
        <v>204</v>
      </c>
      <c r="F608" t="s">
        <v>8</v>
      </c>
      <c r="G608" t="str">
        <f t="shared" si="11"/>
        <v>DB 338Grafit refleks</v>
      </c>
      <c r="H608">
        <v>300</v>
      </c>
    </row>
    <row r="609" spans="1:8" x14ac:dyDescent="0.35">
      <c r="A609">
        <v>338</v>
      </c>
      <c r="B609" t="s">
        <v>214</v>
      </c>
      <c r="C609">
        <v>5900</v>
      </c>
      <c r="D609" t="s">
        <v>151</v>
      </c>
      <c r="E609" t="s">
        <v>204</v>
      </c>
      <c r="F609" t="s">
        <v>43</v>
      </c>
      <c r="G609" t="str">
        <f t="shared" si="11"/>
        <v>DB 338Lustro weneckie</v>
      </c>
      <c r="H609">
        <v>300</v>
      </c>
    </row>
    <row r="610" spans="1:8" x14ac:dyDescent="0.35">
      <c r="A610">
        <v>338</v>
      </c>
      <c r="B610" t="s">
        <v>214</v>
      </c>
      <c r="C610">
        <v>6100</v>
      </c>
      <c r="D610" t="s">
        <v>151</v>
      </c>
      <c r="E610" t="s">
        <v>204</v>
      </c>
      <c r="F610" t="s">
        <v>77</v>
      </c>
      <c r="G610" t="str">
        <f t="shared" si="11"/>
        <v>DB 338Mleczne</v>
      </c>
      <c r="H610">
        <v>300</v>
      </c>
    </row>
    <row r="611" spans="1:8" x14ac:dyDescent="0.35">
      <c r="A611">
        <v>338</v>
      </c>
      <c r="B611" t="s">
        <v>214</v>
      </c>
      <c r="C611">
        <v>6100</v>
      </c>
      <c r="D611" t="s">
        <v>151</v>
      </c>
      <c r="E611" t="s">
        <v>204</v>
      </c>
      <c r="F611" t="s">
        <v>78</v>
      </c>
      <c r="G611" t="str">
        <f t="shared" si="11"/>
        <v>DB 338Piaskowane refleks</v>
      </c>
      <c r="H611">
        <v>300</v>
      </c>
    </row>
    <row r="612" spans="1:8" x14ac:dyDescent="0.35">
      <c r="A612">
        <v>345</v>
      </c>
      <c r="B612" t="s">
        <v>215</v>
      </c>
      <c r="C612">
        <v>5600</v>
      </c>
      <c r="D612" t="s">
        <v>151</v>
      </c>
      <c r="E612" t="s">
        <v>204</v>
      </c>
      <c r="F612" t="s">
        <v>827</v>
      </c>
      <c r="G612" t="str">
        <f t="shared" si="11"/>
        <v>DB 345Przezierne</v>
      </c>
      <c r="H612">
        <v>200</v>
      </c>
    </row>
    <row r="613" spans="1:8" x14ac:dyDescent="0.35">
      <c r="A613">
        <v>345</v>
      </c>
      <c r="B613" t="s">
        <v>215</v>
      </c>
      <c r="C613">
        <v>5600</v>
      </c>
      <c r="D613" t="s">
        <v>151</v>
      </c>
      <c r="E613" t="s">
        <v>204</v>
      </c>
      <c r="F613" t="s">
        <v>76</v>
      </c>
      <c r="G613" t="str">
        <f t="shared" ref="G613:G672" si="12">B613&amp;F613</f>
        <v>DB 345Brąz refleks</v>
      </c>
      <c r="H613">
        <v>200</v>
      </c>
    </row>
    <row r="614" spans="1:8" x14ac:dyDescent="0.35">
      <c r="A614">
        <v>345</v>
      </c>
      <c r="B614" t="s">
        <v>215</v>
      </c>
      <c r="C614">
        <v>5700</v>
      </c>
      <c r="D614" t="s">
        <v>151</v>
      </c>
      <c r="E614" t="s">
        <v>204</v>
      </c>
      <c r="F614" t="s">
        <v>8</v>
      </c>
      <c r="G614" t="str">
        <f t="shared" si="12"/>
        <v>DB 345Grafit refleks</v>
      </c>
      <c r="H614">
        <v>200</v>
      </c>
    </row>
    <row r="615" spans="1:8" x14ac:dyDescent="0.35">
      <c r="A615">
        <v>345</v>
      </c>
      <c r="B615" t="s">
        <v>215</v>
      </c>
      <c r="C615">
        <v>5700</v>
      </c>
      <c r="D615" t="s">
        <v>151</v>
      </c>
      <c r="E615" t="s">
        <v>204</v>
      </c>
      <c r="F615" t="s">
        <v>43</v>
      </c>
      <c r="G615" t="str">
        <f t="shared" si="12"/>
        <v>DB 345Lustro weneckie</v>
      </c>
      <c r="H615">
        <v>200</v>
      </c>
    </row>
    <row r="616" spans="1:8" x14ac:dyDescent="0.35">
      <c r="A616">
        <v>345</v>
      </c>
      <c r="B616" t="s">
        <v>215</v>
      </c>
      <c r="C616">
        <v>5900</v>
      </c>
      <c r="D616" t="s">
        <v>151</v>
      </c>
      <c r="E616" t="s">
        <v>204</v>
      </c>
      <c r="F616" t="s">
        <v>77</v>
      </c>
      <c r="G616" t="str">
        <f t="shared" si="12"/>
        <v>DB 345Mleczne</v>
      </c>
      <c r="H616">
        <v>200</v>
      </c>
    </row>
    <row r="617" spans="1:8" x14ac:dyDescent="0.35">
      <c r="A617">
        <v>345</v>
      </c>
      <c r="B617" t="s">
        <v>215</v>
      </c>
      <c r="C617">
        <v>5900</v>
      </c>
      <c r="D617" t="s">
        <v>151</v>
      </c>
      <c r="E617" t="s">
        <v>204</v>
      </c>
      <c r="F617" t="s">
        <v>78</v>
      </c>
      <c r="G617" t="str">
        <f t="shared" si="12"/>
        <v>DB 345Piaskowane refleks</v>
      </c>
      <c r="H617">
        <v>200</v>
      </c>
    </row>
    <row r="618" spans="1:8" x14ac:dyDescent="0.35">
      <c r="A618">
        <v>350</v>
      </c>
      <c r="B618" t="s">
        <v>216</v>
      </c>
      <c r="C618">
        <v>5800</v>
      </c>
      <c r="D618" t="s">
        <v>151</v>
      </c>
      <c r="E618" t="s">
        <v>204</v>
      </c>
      <c r="F618" t="s">
        <v>827</v>
      </c>
      <c r="G618" t="str">
        <f t="shared" si="12"/>
        <v>DB 350Przezierne</v>
      </c>
      <c r="H618">
        <v>300</v>
      </c>
    </row>
    <row r="619" spans="1:8" x14ac:dyDescent="0.35">
      <c r="A619">
        <v>350</v>
      </c>
      <c r="B619" t="s">
        <v>216</v>
      </c>
      <c r="C619">
        <v>5800</v>
      </c>
      <c r="D619" t="s">
        <v>151</v>
      </c>
      <c r="E619" t="s">
        <v>204</v>
      </c>
      <c r="F619" t="s">
        <v>76</v>
      </c>
      <c r="G619" t="str">
        <f t="shared" si="12"/>
        <v>DB 350Brąz refleks</v>
      </c>
      <c r="H619">
        <v>300</v>
      </c>
    </row>
    <row r="620" spans="1:8" x14ac:dyDescent="0.35">
      <c r="A620">
        <v>350</v>
      </c>
      <c r="B620" t="s">
        <v>216</v>
      </c>
      <c r="C620">
        <v>5900</v>
      </c>
      <c r="D620" t="s">
        <v>151</v>
      </c>
      <c r="E620" t="s">
        <v>204</v>
      </c>
      <c r="F620" t="s">
        <v>8</v>
      </c>
      <c r="G620" t="str">
        <f t="shared" si="12"/>
        <v>DB 350Grafit refleks</v>
      </c>
      <c r="H620">
        <v>300</v>
      </c>
    </row>
    <row r="621" spans="1:8" x14ac:dyDescent="0.35">
      <c r="A621">
        <v>350</v>
      </c>
      <c r="B621" t="s">
        <v>216</v>
      </c>
      <c r="C621">
        <v>5900</v>
      </c>
      <c r="D621" t="s">
        <v>151</v>
      </c>
      <c r="E621" t="s">
        <v>204</v>
      </c>
      <c r="F621" t="s">
        <v>43</v>
      </c>
      <c r="G621" t="str">
        <f t="shared" si="12"/>
        <v>DB 350Lustro weneckie</v>
      </c>
      <c r="H621">
        <v>300</v>
      </c>
    </row>
    <row r="622" spans="1:8" x14ac:dyDescent="0.35">
      <c r="A622">
        <v>350</v>
      </c>
      <c r="B622" t="s">
        <v>216</v>
      </c>
      <c r="C622">
        <v>6100</v>
      </c>
      <c r="D622" t="s">
        <v>151</v>
      </c>
      <c r="E622" t="s">
        <v>204</v>
      </c>
      <c r="F622" t="s">
        <v>77</v>
      </c>
      <c r="G622" t="str">
        <f t="shared" si="12"/>
        <v>DB 350Mleczne</v>
      </c>
      <c r="H622">
        <v>300</v>
      </c>
    </row>
    <row r="623" spans="1:8" x14ac:dyDescent="0.35">
      <c r="A623">
        <v>359</v>
      </c>
      <c r="B623" t="s">
        <v>217</v>
      </c>
      <c r="C623">
        <v>5600</v>
      </c>
      <c r="D623" t="s">
        <v>151</v>
      </c>
      <c r="E623" t="s">
        <v>204</v>
      </c>
      <c r="F623" t="s">
        <v>827</v>
      </c>
      <c r="G623" t="str">
        <f t="shared" si="12"/>
        <v>DB 359Przezierne</v>
      </c>
      <c r="H623">
        <v>200</v>
      </c>
    </row>
    <row r="624" spans="1:8" x14ac:dyDescent="0.35">
      <c r="A624">
        <v>359</v>
      </c>
      <c r="B624" t="s">
        <v>217</v>
      </c>
      <c r="C624">
        <v>5600</v>
      </c>
      <c r="D624" t="s">
        <v>151</v>
      </c>
      <c r="E624" t="s">
        <v>204</v>
      </c>
      <c r="F624" t="s">
        <v>76</v>
      </c>
      <c r="G624" t="str">
        <f t="shared" si="12"/>
        <v>DB 359Brąz refleks</v>
      </c>
      <c r="H624">
        <v>200</v>
      </c>
    </row>
    <row r="625" spans="1:8" x14ac:dyDescent="0.35">
      <c r="A625">
        <v>359</v>
      </c>
      <c r="B625" t="s">
        <v>217</v>
      </c>
      <c r="C625">
        <v>5700</v>
      </c>
      <c r="D625" t="s">
        <v>151</v>
      </c>
      <c r="E625" t="s">
        <v>204</v>
      </c>
      <c r="F625" t="s">
        <v>8</v>
      </c>
      <c r="G625" t="str">
        <f t="shared" si="12"/>
        <v>DB 359Grafit refleks</v>
      </c>
      <c r="H625">
        <v>200</v>
      </c>
    </row>
    <row r="626" spans="1:8" x14ac:dyDescent="0.35">
      <c r="A626">
        <v>359</v>
      </c>
      <c r="B626" t="s">
        <v>217</v>
      </c>
      <c r="C626">
        <v>5700</v>
      </c>
      <c r="D626" t="s">
        <v>151</v>
      </c>
      <c r="E626" t="s">
        <v>204</v>
      </c>
      <c r="F626" t="s">
        <v>43</v>
      </c>
      <c r="G626" t="str">
        <f t="shared" si="12"/>
        <v>DB 359Lustro weneckie</v>
      </c>
      <c r="H626">
        <v>200</v>
      </c>
    </row>
    <row r="627" spans="1:8" x14ac:dyDescent="0.35">
      <c r="A627">
        <v>359</v>
      </c>
      <c r="B627" t="s">
        <v>217</v>
      </c>
      <c r="C627">
        <v>5900</v>
      </c>
      <c r="D627" t="s">
        <v>151</v>
      </c>
      <c r="E627" t="s">
        <v>204</v>
      </c>
      <c r="F627" t="s">
        <v>77</v>
      </c>
      <c r="G627" t="str">
        <f t="shared" si="12"/>
        <v>DB 359Mleczne</v>
      </c>
      <c r="H627">
        <v>200</v>
      </c>
    </row>
    <row r="628" spans="1:8" x14ac:dyDescent="0.35">
      <c r="A628">
        <v>359</v>
      </c>
      <c r="B628" t="s">
        <v>217</v>
      </c>
      <c r="C628">
        <v>5900</v>
      </c>
      <c r="D628" t="s">
        <v>151</v>
      </c>
      <c r="E628" t="s">
        <v>204</v>
      </c>
      <c r="F628" t="s">
        <v>78</v>
      </c>
      <c r="G628" t="str">
        <f t="shared" si="12"/>
        <v>DB 359Piaskowane refleks</v>
      </c>
      <c r="H628">
        <v>200</v>
      </c>
    </row>
    <row r="629" spans="1:8" x14ac:dyDescent="0.35">
      <c r="A629">
        <v>360</v>
      </c>
      <c r="B629" t="s">
        <v>218</v>
      </c>
      <c r="C629">
        <v>5600</v>
      </c>
      <c r="D629" t="s">
        <v>151</v>
      </c>
      <c r="E629" t="s">
        <v>204</v>
      </c>
      <c r="F629" t="s">
        <v>827</v>
      </c>
      <c r="G629" t="str">
        <f t="shared" si="12"/>
        <v>DB 360Przezierne</v>
      </c>
      <c r="H629">
        <v>200</v>
      </c>
    </row>
    <row r="630" spans="1:8" x14ac:dyDescent="0.35">
      <c r="A630">
        <v>360</v>
      </c>
      <c r="B630" t="s">
        <v>218</v>
      </c>
      <c r="C630">
        <v>5600</v>
      </c>
      <c r="D630" t="s">
        <v>151</v>
      </c>
      <c r="E630" t="s">
        <v>204</v>
      </c>
      <c r="F630" t="s">
        <v>76</v>
      </c>
      <c r="G630" t="str">
        <f t="shared" si="12"/>
        <v>DB 360Brąz refleks</v>
      </c>
      <c r="H630">
        <v>200</v>
      </c>
    </row>
    <row r="631" spans="1:8" x14ac:dyDescent="0.35">
      <c r="A631">
        <v>360</v>
      </c>
      <c r="B631" t="s">
        <v>218</v>
      </c>
      <c r="C631">
        <v>5700</v>
      </c>
      <c r="D631" t="s">
        <v>151</v>
      </c>
      <c r="E631" t="s">
        <v>204</v>
      </c>
      <c r="F631" t="s">
        <v>8</v>
      </c>
      <c r="G631" t="str">
        <f t="shared" si="12"/>
        <v>DB 360Grafit refleks</v>
      </c>
      <c r="H631">
        <v>200</v>
      </c>
    </row>
    <row r="632" spans="1:8" x14ac:dyDescent="0.35">
      <c r="A632">
        <v>360</v>
      </c>
      <c r="B632" t="s">
        <v>218</v>
      </c>
      <c r="C632">
        <v>5700</v>
      </c>
      <c r="D632" t="s">
        <v>151</v>
      </c>
      <c r="E632" t="s">
        <v>204</v>
      </c>
      <c r="F632" t="s">
        <v>43</v>
      </c>
      <c r="G632" t="str">
        <f t="shared" si="12"/>
        <v>DB 360Lustro weneckie</v>
      </c>
      <c r="H632">
        <v>200</v>
      </c>
    </row>
    <row r="633" spans="1:8" x14ac:dyDescent="0.35">
      <c r="A633">
        <v>360</v>
      </c>
      <c r="B633" t="s">
        <v>218</v>
      </c>
      <c r="C633">
        <v>5900</v>
      </c>
      <c r="D633" t="s">
        <v>151</v>
      </c>
      <c r="E633" t="s">
        <v>204</v>
      </c>
      <c r="F633" t="s">
        <v>77</v>
      </c>
      <c r="G633" t="str">
        <f t="shared" si="12"/>
        <v>DB 360Mleczne</v>
      </c>
      <c r="H633">
        <v>200</v>
      </c>
    </row>
    <row r="634" spans="1:8" x14ac:dyDescent="0.35">
      <c r="A634">
        <v>360</v>
      </c>
      <c r="B634" t="s">
        <v>218</v>
      </c>
      <c r="C634">
        <v>5900</v>
      </c>
      <c r="D634" t="s">
        <v>151</v>
      </c>
      <c r="E634" t="s">
        <v>204</v>
      </c>
      <c r="F634" t="s">
        <v>78</v>
      </c>
      <c r="G634" t="str">
        <f t="shared" si="12"/>
        <v>DB 360Piaskowane refleks</v>
      </c>
      <c r="H634">
        <v>200</v>
      </c>
    </row>
    <row r="635" spans="1:8" x14ac:dyDescent="0.35">
      <c r="A635">
        <v>361</v>
      </c>
      <c r="B635" t="s">
        <v>219</v>
      </c>
      <c r="C635">
        <v>5600</v>
      </c>
      <c r="D635" t="s">
        <v>151</v>
      </c>
      <c r="E635" t="s">
        <v>204</v>
      </c>
      <c r="F635" t="s">
        <v>827</v>
      </c>
      <c r="G635" t="str">
        <f t="shared" si="12"/>
        <v>DB 361Przezierne</v>
      </c>
      <c r="H635">
        <v>200</v>
      </c>
    </row>
    <row r="636" spans="1:8" x14ac:dyDescent="0.35">
      <c r="A636">
        <v>361</v>
      </c>
      <c r="B636" t="s">
        <v>219</v>
      </c>
      <c r="C636">
        <v>5600</v>
      </c>
      <c r="D636" t="s">
        <v>151</v>
      </c>
      <c r="E636" t="s">
        <v>204</v>
      </c>
      <c r="F636" t="s">
        <v>76</v>
      </c>
      <c r="G636" t="str">
        <f t="shared" si="12"/>
        <v>DB 361Brąz refleks</v>
      </c>
      <c r="H636">
        <v>200</v>
      </c>
    </row>
    <row r="637" spans="1:8" x14ac:dyDescent="0.35">
      <c r="A637">
        <v>361</v>
      </c>
      <c r="B637" t="s">
        <v>219</v>
      </c>
      <c r="C637">
        <v>5700</v>
      </c>
      <c r="D637" t="s">
        <v>151</v>
      </c>
      <c r="E637" t="s">
        <v>204</v>
      </c>
      <c r="F637" t="s">
        <v>8</v>
      </c>
      <c r="G637" t="str">
        <f t="shared" si="12"/>
        <v>DB 361Grafit refleks</v>
      </c>
      <c r="H637">
        <v>200</v>
      </c>
    </row>
    <row r="638" spans="1:8" x14ac:dyDescent="0.35">
      <c r="A638">
        <v>361</v>
      </c>
      <c r="B638" t="s">
        <v>219</v>
      </c>
      <c r="C638">
        <v>5700</v>
      </c>
      <c r="D638" t="s">
        <v>151</v>
      </c>
      <c r="E638" t="s">
        <v>204</v>
      </c>
      <c r="F638" t="s">
        <v>43</v>
      </c>
      <c r="G638" t="str">
        <f t="shared" si="12"/>
        <v>DB 361Lustro weneckie</v>
      </c>
      <c r="H638">
        <v>200</v>
      </c>
    </row>
    <row r="639" spans="1:8" x14ac:dyDescent="0.35">
      <c r="A639">
        <v>361</v>
      </c>
      <c r="B639" t="s">
        <v>219</v>
      </c>
      <c r="C639">
        <v>5900</v>
      </c>
      <c r="D639" t="s">
        <v>151</v>
      </c>
      <c r="E639" t="s">
        <v>204</v>
      </c>
      <c r="F639" t="s">
        <v>77</v>
      </c>
      <c r="G639" t="str">
        <f t="shared" si="12"/>
        <v>DB 361Mleczne</v>
      </c>
      <c r="H639">
        <v>200</v>
      </c>
    </row>
    <row r="640" spans="1:8" x14ac:dyDescent="0.35">
      <c r="A640">
        <v>361</v>
      </c>
      <c r="B640" t="s">
        <v>219</v>
      </c>
      <c r="C640">
        <v>5900</v>
      </c>
      <c r="D640" t="s">
        <v>151</v>
      </c>
      <c r="E640" t="s">
        <v>204</v>
      </c>
      <c r="F640" t="s">
        <v>78</v>
      </c>
      <c r="G640" t="str">
        <f t="shared" si="12"/>
        <v>DB 361Piaskowane refleks</v>
      </c>
      <c r="H640">
        <v>200</v>
      </c>
    </row>
    <row r="641" spans="1:9" x14ac:dyDescent="0.35">
      <c r="A641">
        <v>363</v>
      </c>
      <c r="B641" t="s">
        <v>220</v>
      </c>
      <c r="C641">
        <v>5800</v>
      </c>
      <c r="D641" t="s">
        <v>151</v>
      </c>
      <c r="E641" t="s">
        <v>204</v>
      </c>
      <c r="F641" t="s">
        <v>827</v>
      </c>
      <c r="G641" t="str">
        <f t="shared" si="12"/>
        <v>DB 363Przezierne</v>
      </c>
      <c r="H641">
        <v>300</v>
      </c>
    </row>
    <row r="642" spans="1:9" x14ac:dyDescent="0.35">
      <c r="A642">
        <v>363</v>
      </c>
      <c r="B642" t="s">
        <v>220</v>
      </c>
      <c r="C642">
        <v>5800</v>
      </c>
      <c r="D642" t="s">
        <v>151</v>
      </c>
      <c r="E642" t="s">
        <v>204</v>
      </c>
      <c r="F642" t="s">
        <v>76</v>
      </c>
      <c r="G642" t="str">
        <f t="shared" si="12"/>
        <v>DB 363Brąz refleks</v>
      </c>
      <c r="H642">
        <v>300</v>
      </c>
    </row>
    <row r="643" spans="1:9" x14ac:dyDescent="0.35">
      <c r="A643">
        <v>363</v>
      </c>
      <c r="B643" t="s">
        <v>220</v>
      </c>
      <c r="C643">
        <v>5900</v>
      </c>
      <c r="D643" t="s">
        <v>151</v>
      </c>
      <c r="E643" t="s">
        <v>204</v>
      </c>
      <c r="F643" t="s">
        <v>8</v>
      </c>
      <c r="G643" t="str">
        <f t="shared" si="12"/>
        <v>DB 363Grafit refleks</v>
      </c>
      <c r="H643">
        <v>300</v>
      </c>
    </row>
    <row r="644" spans="1:9" x14ac:dyDescent="0.35">
      <c r="A644">
        <v>363</v>
      </c>
      <c r="B644" t="s">
        <v>220</v>
      </c>
      <c r="C644">
        <v>5900</v>
      </c>
      <c r="D644" t="s">
        <v>151</v>
      </c>
      <c r="E644" t="s">
        <v>204</v>
      </c>
      <c r="F644" t="s">
        <v>43</v>
      </c>
      <c r="G644" t="str">
        <f t="shared" si="12"/>
        <v>DB 363Lustro weneckie</v>
      </c>
      <c r="H644">
        <v>300</v>
      </c>
    </row>
    <row r="645" spans="1:9" x14ac:dyDescent="0.35">
      <c r="A645">
        <v>363</v>
      </c>
      <c r="B645" t="s">
        <v>220</v>
      </c>
      <c r="C645">
        <v>6100</v>
      </c>
      <c r="D645" t="s">
        <v>151</v>
      </c>
      <c r="E645" t="s">
        <v>204</v>
      </c>
      <c r="F645" t="s">
        <v>77</v>
      </c>
      <c r="G645" t="str">
        <f t="shared" si="12"/>
        <v>DB 363Mleczne</v>
      </c>
      <c r="H645">
        <v>300</v>
      </c>
    </row>
    <row r="646" spans="1:9" x14ac:dyDescent="0.35">
      <c r="A646">
        <v>363</v>
      </c>
      <c r="B646" t="s">
        <v>220</v>
      </c>
      <c r="C646">
        <v>6100</v>
      </c>
      <c r="D646" t="s">
        <v>151</v>
      </c>
      <c r="E646" t="s">
        <v>204</v>
      </c>
      <c r="F646" t="s">
        <v>78</v>
      </c>
      <c r="G646" t="str">
        <f t="shared" si="12"/>
        <v>DB 363Piaskowane refleks</v>
      </c>
      <c r="H646">
        <v>300</v>
      </c>
    </row>
    <row r="647" spans="1:9" x14ac:dyDescent="0.35">
      <c r="A647">
        <v>364</v>
      </c>
      <c r="B647" t="s">
        <v>221</v>
      </c>
      <c r="C647">
        <v>5600</v>
      </c>
      <c r="D647" t="s">
        <v>151</v>
      </c>
      <c r="E647" t="s">
        <v>204</v>
      </c>
      <c r="F647" t="s">
        <v>827</v>
      </c>
      <c r="G647" t="str">
        <f t="shared" si="12"/>
        <v>DB 364Przezierne</v>
      </c>
      <c r="H647">
        <v>300</v>
      </c>
    </row>
    <row r="648" spans="1:9" x14ac:dyDescent="0.35">
      <c r="A648">
        <v>364</v>
      </c>
      <c r="B648" t="s">
        <v>221</v>
      </c>
      <c r="C648">
        <v>5600</v>
      </c>
      <c r="D648" t="s">
        <v>151</v>
      </c>
      <c r="E648" t="s">
        <v>204</v>
      </c>
      <c r="F648" t="s">
        <v>76</v>
      </c>
      <c r="G648" t="str">
        <f t="shared" si="12"/>
        <v>DB 364Brąz refleks</v>
      </c>
      <c r="H648">
        <v>300</v>
      </c>
    </row>
    <row r="649" spans="1:9" x14ac:dyDescent="0.35">
      <c r="A649">
        <v>364</v>
      </c>
      <c r="B649" t="s">
        <v>221</v>
      </c>
      <c r="C649">
        <v>5700</v>
      </c>
      <c r="D649" t="s">
        <v>151</v>
      </c>
      <c r="E649" t="s">
        <v>204</v>
      </c>
      <c r="F649" t="s">
        <v>8</v>
      </c>
      <c r="G649" t="str">
        <f t="shared" si="12"/>
        <v>DB 364Grafit refleks</v>
      </c>
      <c r="H649">
        <v>300</v>
      </c>
    </row>
    <row r="650" spans="1:9" x14ac:dyDescent="0.35">
      <c r="A650">
        <v>364</v>
      </c>
      <c r="B650" t="s">
        <v>221</v>
      </c>
      <c r="C650">
        <v>5700</v>
      </c>
      <c r="D650" t="s">
        <v>151</v>
      </c>
      <c r="E650" t="s">
        <v>204</v>
      </c>
      <c r="F650" t="s">
        <v>43</v>
      </c>
      <c r="G650" t="str">
        <f t="shared" si="12"/>
        <v>DB 364Lustro weneckie</v>
      </c>
      <c r="H650">
        <v>300</v>
      </c>
    </row>
    <row r="651" spans="1:9" x14ac:dyDescent="0.35">
      <c r="A651">
        <v>364</v>
      </c>
      <c r="B651" t="s">
        <v>221</v>
      </c>
      <c r="C651">
        <v>5900</v>
      </c>
      <c r="D651" t="s">
        <v>151</v>
      </c>
      <c r="E651" t="s">
        <v>204</v>
      </c>
      <c r="F651" t="s">
        <v>77</v>
      </c>
      <c r="G651" t="str">
        <f t="shared" si="12"/>
        <v>DB 364Mleczne</v>
      </c>
      <c r="H651">
        <v>300</v>
      </c>
    </row>
    <row r="652" spans="1:9" x14ac:dyDescent="0.35">
      <c r="A652">
        <v>364</v>
      </c>
      <c r="B652" t="s">
        <v>221</v>
      </c>
      <c r="C652">
        <v>5900</v>
      </c>
      <c r="D652" t="s">
        <v>151</v>
      </c>
      <c r="E652" t="s">
        <v>204</v>
      </c>
      <c r="F652" t="s">
        <v>78</v>
      </c>
      <c r="G652" t="str">
        <f t="shared" si="12"/>
        <v>DB 364Piaskowane refleks</v>
      </c>
      <c r="H652">
        <v>300</v>
      </c>
    </row>
    <row r="653" spans="1:9" x14ac:dyDescent="0.35">
      <c r="A653">
        <v>366</v>
      </c>
      <c r="B653" t="s">
        <v>222</v>
      </c>
      <c r="C653">
        <v>5200</v>
      </c>
      <c r="D653" t="s">
        <v>151</v>
      </c>
      <c r="E653" t="s">
        <v>204</v>
      </c>
      <c r="F653" t="s">
        <v>97</v>
      </c>
      <c r="G653" t="str">
        <f t="shared" si="12"/>
        <v>DB 366Brak (pełne)</v>
      </c>
      <c r="H653">
        <v>200</v>
      </c>
    </row>
    <row r="654" spans="1:9" x14ac:dyDescent="0.35">
      <c r="A654">
        <v>400</v>
      </c>
      <c r="B654" t="s">
        <v>223</v>
      </c>
      <c r="C654">
        <v>5400</v>
      </c>
      <c r="D654" t="s">
        <v>151</v>
      </c>
      <c r="E654" t="s">
        <v>224</v>
      </c>
      <c r="F654" t="s">
        <v>827</v>
      </c>
      <c r="G654" t="str">
        <f t="shared" si="12"/>
        <v>DB 400Przezierne</v>
      </c>
      <c r="I654">
        <v>1000</v>
      </c>
    </row>
    <row r="655" spans="1:9" x14ac:dyDescent="0.35">
      <c r="A655">
        <v>400</v>
      </c>
      <c r="B655" t="s">
        <v>223</v>
      </c>
      <c r="C655">
        <v>5400</v>
      </c>
      <c r="D655" t="s">
        <v>151</v>
      </c>
      <c r="E655" t="s">
        <v>224</v>
      </c>
      <c r="F655" t="s">
        <v>76</v>
      </c>
      <c r="G655" t="str">
        <f t="shared" si="12"/>
        <v>DB 400Brąz refleks</v>
      </c>
      <c r="I655">
        <v>1000</v>
      </c>
    </row>
    <row r="656" spans="1:9" x14ac:dyDescent="0.35">
      <c r="A656">
        <v>400</v>
      </c>
      <c r="B656" t="s">
        <v>223</v>
      </c>
      <c r="C656">
        <v>5500</v>
      </c>
      <c r="D656" t="s">
        <v>151</v>
      </c>
      <c r="E656" t="s">
        <v>224</v>
      </c>
      <c r="F656" t="s">
        <v>8</v>
      </c>
      <c r="G656" t="str">
        <f t="shared" si="12"/>
        <v>DB 400Grafit refleks</v>
      </c>
      <c r="I656">
        <v>1000</v>
      </c>
    </row>
    <row r="657" spans="1:9" x14ac:dyDescent="0.35">
      <c r="A657">
        <v>400</v>
      </c>
      <c r="B657" t="s">
        <v>223</v>
      </c>
      <c r="C657">
        <v>5500</v>
      </c>
      <c r="D657" t="s">
        <v>151</v>
      </c>
      <c r="E657" t="s">
        <v>224</v>
      </c>
      <c r="F657" t="s">
        <v>43</v>
      </c>
      <c r="G657" t="str">
        <f t="shared" si="12"/>
        <v>DB 400Lustro weneckie</v>
      </c>
      <c r="I657">
        <v>1000</v>
      </c>
    </row>
    <row r="658" spans="1:9" x14ac:dyDescent="0.35">
      <c r="A658">
        <v>400</v>
      </c>
      <c r="B658" t="s">
        <v>223</v>
      </c>
      <c r="C658">
        <v>5700</v>
      </c>
      <c r="D658" t="s">
        <v>151</v>
      </c>
      <c r="E658" t="s">
        <v>224</v>
      </c>
      <c r="F658" t="s">
        <v>77</v>
      </c>
      <c r="G658" t="str">
        <f t="shared" si="12"/>
        <v>DB 400Mleczne</v>
      </c>
      <c r="I658">
        <v>1000</v>
      </c>
    </row>
    <row r="659" spans="1:9" x14ac:dyDescent="0.35">
      <c r="A659">
        <v>400</v>
      </c>
      <c r="B659" t="s">
        <v>223</v>
      </c>
      <c r="C659">
        <v>5700</v>
      </c>
      <c r="D659" t="s">
        <v>151</v>
      </c>
      <c r="E659" t="s">
        <v>224</v>
      </c>
      <c r="F659" t="s">
        <v>78</v>
      </c>
      <c r="G659" t="str">
        <f t="shared" si="12"/>
        <v>DB 400Piaskowane refleks</v>
      </c>
      <c r="I659">
        <v>1000</v>
      </c>
    </row>
    <row r="660" spans="1:9" x14ac:dyDescent="0.35">
      <c r="A660">
        <v>405</v>
      </c>
      <c r="B660" t="s">
        <v>225</v>
      </c>
      <c r="C660">
        <v>5700</v>
      </c>
      <c r="D660" t="s">
        <v>151</v>
      </c>
      <c r="E660" t="s">
        <v>224</v>
      </c>
      <c r="F660" t="s">
        <v>827</v>
      </c>
      <c r="G660" t="str">
        <f t="shared" si="12"/>
        <v>DB 405Przezierne</v>
      </c>
      <c r="I660">
        <v>1000</v>
      </c>
    </row>
    <row r="661" spans="1:9" x14ac:dyDescent="0.35">
      <c r="A661">
        <v>405</v>
      </c>
      <c r="B661" t="s">
        <v>225</v>
      </c>
      <c r="C661">
        <v>5700</v>
      </c>
      <c r="D661" t="s">
        <v>151</v>
      </c>
      <c r="E661" t="s">
        <v>224</v>
      </c>
      <c r="F661" t="s">
        <v>76</v>
      </c>
      <c r="G661" t="str">
        <f t="shared" si="12"/>
        <v>DB 405Brąz refleks</v>
      </c>
      <c r="I661">
        <v>1000</v>
      </c>
    </row>
    <row r="662" spans="1:9" x14ac:dyDescent="0.35">
      <c r="A662">
        <v>405</v>
      </c>
      <c r="B662" t="s">
        <v>225</v>
      </c>
      <c r="C662">
        <v>5800</v>
      </c>
      <c r="D662" t="s">
        <v>151</v>
      </c>
      <c r="E662" t="s">
        <v>224</v>
      </c>
      <c r="F662" t="s">
        <v>8</v>
      </c>
      <c r="G662" t="str">
        <f t="shared" si="12"/>
        <v>DB 405Grafit refleks</v>
      </c>
      <c r="I662">
        <v>1000</v>
      </c>
    </row>
    <row r="663" spans="1:9" x14ac:dyDescent="0.35">
      <c r="A663">
        <v>405</v>
      </c>
      <c r="B663" t="s">
        <v>225</v>
      </c>
      <c r="C663">
        <v>5800</v>
      </c>
      <c r="D663" t="s">
        <v>151</v>
      </c>
      <c r="E663" t="s">
        <v>224</v>
      </c>
      <c r="F663" t="s">
        <v>43</v>
      </c>
      <c r="G663" t="str">
        <f t="shared" si="12"/>
        <v>DB 405Lustro weneckie</v>
      </c>
      <c r="I663">
        <v>1000</v>
      </c>
    </row>
    <row r="664" spans="1:9" x14ac:dyDescent="0.35">
      <c r="A664">
        <v>405</v>
      </c>
      <c r="B664" t="s">
        <v>225</v>
      </c>
      <c r="C664">
        <v>6000</v>
      </c>
      <c r="D664" t="s">
        <v>151</v>
      </c>
      <c r="E664" t="s">
        <v>224</v>
      </c>
      <c r="F664" t="s">
        <v>77</v>
      </c>
      <c r="G664" t="str">
        <f t="shared" si="12"/>
        <v>DB 405Mleczne</v>
      </c>
      <c r="I664">
        <v>1000</v>
      </c>
    </row>
    <row r="665" spans="1:9" x14ac:dyDescent="0.35">
      <c r="A665">
        <v>411</v>
      </c>
      <c r="B665" t="s">
        <v>226</v>
      </c>
      <c r="C665">
        <v>5700</v>
      </c>
      <c r="D665" t="s">
        <v>151</v>
      </c>
      <c r="E665" t="s">
        <v>224</v>
      </c>
      <c r="F665" t="s">
        <v>827</v>
      </c>
      <c r="G665" t="str">
        <f t="shared" si="12"/>
        <v>DB 411Przezierne</v>
      </c>
      <c r="I665">
        <v>1200</v>
      </c>
    </row>
    <row r="666" spans="1:9" x14ac:dyDescent="0.35">
      <c r="A666">
        <v>411</v>
      </c>
      <c r="B666" t="s">
        <v>226</v>
      </c>
      <c r="C666">
        <v>5700</v>
      </c>
      <c r="D666" t="s">
        <v>151</v>
      </c>
      <c r="E666" t="s">
        <v>224</v>
      </c>
      <c r="F666" t="s">
        <v>76</v>
      </c>
      <c r="G666" t="str">
        <f t="shared" si="12"/>
        <v>DB 411Brąz refleks</v>
      </c>
      <c r="I666">
        <v>1200</v>
      </c>
    </row>
    <row r="667" spans="1:9" x14ac:dyDescent="0.35">
      <c r="A667">
        <v>411</v>
      </c>
      <c r="B667" t="s">
        <v>226</v>
      </c>
      <c r="C667">
        <v>5800</v>
      </c>
      <c r="D667" t="s">
        <v>151</v>
      </c>
      <c r="E667" t="s">
        <v>224</v>
      </c>
      <c r="F667" t="s">
        <v>8</v>
      </c>
      <c r="G667" t="str">
        <f t="shared" si="12"/>
        <v>DB 411Grafit refleks</v>
      </c>
      <c r="I667">
        <v>1200</v>
      </c>
    </row>
    <row r="668" spans="1:9" x14ac:dyDescent="0.35">
      <c r="A668">
        <v>411</v>
      </c>
      <c r="B668" t="s">
        <v>226</v>
      </c>
      <c r="C668">
        <v>5800</v>
      </c>
      <c r="D668" t="s">
        <v>151</v>
      </c>
      <c r="E668" t="s">
        <v>224</v>
      </c>
      <c r="F668" t="s">
        <v>43</v>
      </c>
      <c r="G668" t="str">
        <f t="shared" si="12"/>
        <v>DB 411Lustro weneckie</v>
      </c>
      <c r="I668">
        <v>1200</v>
      </c>
    </row>
    <row r="669" spans="1:9" x14ac:dyDescent="0.35">
      <c r="A669">
        <v>411</v>
      </c>
      <c r="B669" t="s">
        <v>226</v>
      </c>
      <c r="C669">
        <v>6000</v>
      </c>
      <c r="D669" t="s">
        <v>151</v>
      </c>
      <c r="E669" t="s">
        <v>224</v>
      </c>
      <c r="F669" t="s">
        <v>77</v>
      </c>
      <c r="G669" t="str">
        <f t="shared" si="12"/>
        <v>DB 411Mleczne</v>
      </c>
      <c r="I669">
        <v>1200</v>
      </c>
    </row>
    <row r="670" spans="1:9" x14ac:dyDescent="0.35">
      <c r="A670">
        <v>412</v>
      </c>
      <c r="B670" t="s">
        <v>227</v>
      </c>
      <c r="C670">
        <v>5000</v>
      </c>
      <c r="D670" t="s">
        <v>151</v>
      </c>
      <c r="E670" t="s">
        <v>224</v>
      </c>
      <c r="F670" t="s">
        <v>97</v>
      </c>
      <c r="G670" t="str">
        <f t="shared" si="12"/>
        <v>DB 412Brak (pełne)</v>
      </c>
      <c r="I670">
        <v>1000</v>
      </c>
    </row>
    <row r="671" spans="1:9" x14ac:dyDescent="0.35">
      <c r="A671">
        <v>413</v>
      </c>
      <c r="B671" t="s">
        <v>228</v>
      </c>
      <c r="C671">
        <v>5000</v>
      </c>
      <c r="D671" t="s">
        <v>151</v>
      </c>
      <c r="E671" t="s">
        <v>224</v>
      </c>
      <c r="F671" t="s">
        <v>97</v>
      </c>
      <c r="G671" t="str">
        <f t="shared" si="12"/>
        <v>DB 413Brak (pełne)</v>
      </c>
      <c r="I671">
        <v>1000</v>
      </c>
    </row>
    <row r="672" spans="1:9" x14ac:dyDescent="0.35">
      <c r="A672">
        <v>414</v>
      </c>
      <c r="B672" t="s">
        <v>229</v>
      </c>
      <c r="C672">
        <v>5000</v>
      </c>
      <c r="D672" t="s">
        <v>151</v>
      </c>
      <c r="E672" t="s">
        <v>224</v>
      </c>
      <c r="F672" t="s">
        <v>97</v>
      </c>
      <c r="G672" t="str">
        <f t="shared" si="12"/>
        <v>DB 414Brak (pełne)</v>
      </c>
      <c r="I672">
        <v>2000</v>
      </c>
    </row>
    <row r="673" spans="1:9" x14ac:dyDescent="0.35">
      <c r="A673">
        <v>415</v>
      </c>
      <c r="B673" t="s">
        <v>230</v>
      </c>
      <c r="C673">
        <v>5700</v>
      </c>
      <c r="D673" t="s">
        <v>151</v>
      </c>
      <c r="E673" t="s">
        <v>224</v>
      </c>
      <c r="F673" t="s">
        <v>97</v>
      </c>
      <c r="G673" t="str">
        <f t="shared" ref="G673:G725" si="13">B673&amp;F673</f>
        <v>DB 415Brak (pełne)</v>
      </c>
      <c r="I673">
        <v>2500</v>
      </c>
    </row>
    <row r="674" spans="1:9" x14ac:dyDescent="0.35">
      <c r="A674">
        <v>431</v>
      </c>
      <c r="B674" t="s">
        <v>231</v>
      </c>
      <c r="C674">
        <v>5400</v>
      </c>
      <c r="D674" t="s">
        <v>151</v>
      </c>
      <c r="E674" t="s">
        <v>224</v>
      </c>
      <c r="F674" t="s">
        <v>827</v>
      </c>
      <c r="G674" t="str">
        <f t="shared" si="13"/>
        <v>DB 431Przezierne</v>
      </c>
      <c r="I674">
        <v>1000</v>
      </c>
    </row>
    <row r="675" spans="1:9" x14ac:dyDescent="0.35">
      <c r="A675">
        <v>431</v>
      </c>
      <c r="B675" t="s">
        <v>231</v>
      </c>
      <c r="C675">
        <v>5400</v>
      </c>
      <c r="D675" t="s">
        <v>151</v>
      </c>
      <c r="E675" t="s">
        <v>224</v>
      </c>
      <c r="F675" t="s">
        <v>76</v>
      </c>
      <c r="G675" t="str">
        <f t="shared" si="13"/>
        <v>DB 431Brąz refleks</v>
      </c>
      <c r="I675">
        <v>1000</v>
      </c>
    </row>
    <row r="676" spans="1:9" x14ac:dyDescent="0.35">
      <c r="A676">
        <v>431</v>
      </c>
      <c r="B676" t="s">
        <v>231</v>
      </c>
      <c r="C676">
        <v>5500</v>
      </c>
      <c r="D676" t="s">
        <v>151</v>
      </c>
      <c r="E676" t="s">
        <v>224</v>
      </c>
      <c r="F676" t="s">
        <v>8</v>
      </c>
      <c r="G676" t="str">
        <f t="shared" si="13"/>
        <v>DB 431Grafit refleks</v>
      </c>
      <c r="I676">
        <v>1000</v>
      </c>
    </row>
    <row r="677" spans="1:9" x14ac:dyDescent="0.35">
      <c r="A677">
        <v>431</v>
      </c>
      <c r="B677" t="s">
        <v>231</v>
      </c>
      <c r="C677">
        <v>5500</v>
      </c>
      <c r="D677" t="s">
        <v>151</v>
      </c>
      <c r="E677" t="s">
        <v>224</v>
      </c>
      <c r="F677" t="s">
        <v>43</v>
      </c>
      <c r="G677" t="str">
        <f t="shared" si="13"/>
        <v>DB 431Lustro weneckie</v>
      </c>
      <c r="I677">
        <v>1000</v>
      </c>
    </row>
    <row r="678" spans="1:9" x14ac:dyDescent="0.35">
      <c r="A678">
        <v>431</v>
      </c>
      <c r="B678" t="s">
        <v>231</v>
      </c>
      <c r="C678">
        <v>5700</v>
      </c>
      <c r="D678" t="s">
        <v>151</v>
      </c>
      <c r="E678" t="s">
        <v>224</v>
      </c>
      <c r="F678" t="s">
        <v>77</v>
      </c>
      <c r="G678" t="str">
        <f t="shared" si="13"/>
        <v>DB 431Mleczne</v>
      </c>
      <c r="I678">
        <v>1000</v>
      </c>
    </row>
    <row r="679" spans="1:9" x14ac:dyDescent="0.35">
      <c r="A679">
        <v>432</v>
      </c>
      <c r="B679" t="s">
        <v>232</v>
      </c>
      <c r="C679">
        <v>5400</v>
      </c>
      <c r="D679" t="s">
        <v>151</v>
      </c>
      <c r="E679" t="s">
        <v>224</v>
      </c>
      <c r="F679" t="s">
        <v>827</v>
      </c>
      <c r="G679" t="str">
        <f t="shared" si="13"/>
        <v>DB 432Przezierne</v>
      </c>
      <c r="I679">
        <v>1000</v>
      </c>
    </row>
    <row r="680" spans="1:9" x14ac:dyDescent="0.35">
      <c r="A680">
        <v>432</v>
      </c>
      <c r="B680" t="s">
        <v>232</v>
      </c>
      <c r="C680">
        <v>5400</v>
      </c>
      <c r="D680" t="s">
        <v>151</v>
      </c>
      <c r="E680" t="s">
        <v>224</v>
      </c>
      <c r="F680" t="s">
        <v>76</v>
      </c>
      <c r="G680" t="str">
        <f t="shared" si="13"/>
        <v>DB 432Brąz refleks</v>
      </c>
      <c r="I680">
        <v>1000</v>
      </c>
    </row>
    <row r="681" spans="1:9" x14ac:dyDescent="0.35">
      <c r="A681">
        <v>432</v>
      </c>
      <c r="B681" t="s">
        <v>232</v>
      </c>
      <c r="C681">
        <v>5500</v>
      </c>
      <c r="D681" t="s">
        <v>151</v>
      </c>
      <c r="E681" t="s">
        <v>224</v>
      </c>
      <c r="F681" t="s">
        <v>8</v>
      </c>
      <c r="G681" t="str">
        <f t="shared" si="13"/>
        <v>DB 432Grafit refleks</v>
      </c>
      <c r="I681">
        <v>1000</v>
      </c>
    </row>
    <row r="682" spans="1:9" x14ac:dyDescent="0.35">
      <c r="A682">
        <v>432</v>
      </c>
      <c r="B682" t="s">
        <v>232</v>
      </c>
      <c r="C682">
        <v>5500</v>
      </c>
      <c r="D682" t="s">
        <v>151</v>
      </c>
      <c r="E682" t="s">
        <v>224</v>
      </c>
      <c r="F682" t="s">
        <v>43</v>
      </c>
      <c r="G682" t="str">
        <f t="shared" si="13"/>
        <v>DB 432Lustro weneckie</v>
      </c>
      <c r="I682">
        <v>1000</v>
      </c>
    </row>
    <row r="683" spans="1:9" x14ac:dyDescent="0.35">
      <c r="A683">
        <v>432</v>
      </c>
      <c r="B683" t="s">
        <v>232</v>
      </c>
      <c r="C683">
        <v>5700</v>
      </c>
      <c r="D683" t="s">
        <v>151</v>
      </c>
      <c r="E683" t="s">
        <v>224</v>
      </c>
      <c r="F683" t="s">
        <v>77</v>
      </c>
      <c r="G683" t="str">
        <f t="shared" si="13"/>
        <v>DB 432Mleczne</v>
      </c>
      <c r="I683">
        <v>1000</v>
      </c>
    </row>
    <row r="684" spans="1:9" x14ac:dyDescent="0.35">
      <c r="A684">
        <v>432</v>
      </c>
      <c r="B684" t="s">
        <v>232</v>
      </c>
      <c r="C684">
        <v>5700</v>
      </c>
      <c r="D684" t="s">
        <v>151</v>
      </c>
      <c r="E684" t="s">
        <v>224</v>
      </c>
      <c r="F684" t="s">
        <v>78</v>
      </c>
      <c r="G684" t="str">
        <f t="shared" si="13"/>
        <v>DB 432Piaskowane refleks</v>
      </c>
      <c r="I684">
        <v>1000</v>
      </c>
    </row>
    <row r="685" spans="1:9" x14ac:dyDescent="0.35">
      <c r="A685">
        <v>450</v>
      </c>
      <c r="B685" t="s">
        <v>233</v>
      </c>
      <c r="C685">
        <v>5400</v>
      </c>
      <c r="D685" t="s">
        <v>151</v>
      </c>
      <c r="E685" t="s">
        <v>224</v>
      </c>
      <c r="F685" t="s">
        <v>827</v>
      </c>
      <c r="G685" t="str">
        <f t="shared" si="13"/>
        <v>DB 450Przezierne</v>
      </c>
      <c r="I685">
        <v>1000</v>
      </c>
    </row>
    <row r="686" spans="1:9" x14ac:dyDescent="0.35">
      <c r="A686">
        <v>450</v>
      </c>
      <c r="B686" t="s">
        <v>233</v>
      </c>
      <c r="C686">
        <v>5400</v>
      </c>
      <c r="D686" t="s">
        <v>151</v>
      </c>
      <c r="E686" t="s">
        <v>224</v>
      </c>
      <c r="F686" t="s">
        <v>76</v>
      </c>
      <c r="G686" t="str">
        <f t="shared" si="13"/>
        <v>DB 450Brąz refleks</v>
      </c>
      <c r="I686">
        <v>1000</v>
      </c>
    </row>
    <row r="687" spans="1:9" x14ac:dyDescent="0.35">
      <c r="A687">
        <v>450</v>
      </c>
      <c r="B687" t="s">
        <v>233</v>
      </c>
      <c r="C687">
        <v>5500</v>
      </c>
      <c r="D687" t="s">
        <v>151</v>
      </c>
      <c r="E687" t="s">
        <v>224</v>
      </c>
      <c r="F687" t="s">
        <v>8</v>
      </c>
      <c r="G687" t="str">
        <f t="shared" si="13"/>
        <v>DB 450Grafit refleks</v>
      </c>
      <c r="I687">
        <v>1000</v>
      </c>
    </row>
    <row r="688" spans="1:9" x14ac:dyDescent="0.35">
      <c r="A688">
        <v>450</v>
      </c>
      <c r="B688" t="s">
        <v>233</v>
      </c>
      <c r="C688">
        <v>5500</v>
      </c>
      <c r="D688" t="s">
        <v>151</v>
      </c>
      <c r="E688" t="s">
        <v>224</v>
      </c>
      <c r="F688" t="s">
        <v>43</v>
      </c>
      <c r="G688" t="str">
        <f t="shared" si="13"/>
        <v>DB 450Lustro weneckie</v>
      </c>
      <c r="I688">
        <v>1000</v>
      </c>
    </row>
    <row r="689" spans="1:9" x14ac:dyDescent="0.35">
      <c r="A689">
        <v>450</v>
      </c>
      <c r="B689" t="s">
        <v>233</v>
      </c>
      <c r="C689">
        <v>5700</v>
      </c>
      <c r="D689" t="s">
        <v>151</v>
      </c>
      <c r="E689" t="s">
        <v>224</v>
      </c>
      <c r="F689" t="s">
        <v>77</v>
      </c>
      <c r="G689" t="str">
        <f t="shared" si="13"/>
        <v>DB 450Mleczne</v>
      </c>
      <c r="I689">
        <v>1000</v>
      </c>
    </row>
    <row r="690" spans="1:9" x14ac:dyDescent="0.35">
      <c r="A690">
        <v>502</v>
      </c>
      <c r="B690" t="s">
        <v>234</v>
      </c>
      <c r="C690">
        <v>6200</v>
      </c>
      <c r="D690" t="s">
        <v>151</v>
      </c>
      <c r="E690" t="s">
        <v>235</v>
      </c>
      <c r="F690" t="s">
        <v>236</v>
      </c>
      <c r="G690" t="str">
        <f t="shared" si="13"/>
        <v>DB 502Dyskretne brąz refleks</v>
      </c>
    </row>
    <row r="691" spans="1:9" x14ac:dyDescent="0.35">
      <c r="A691">
        <v>502</v>
      </c>
      <c r="B691" t="s">
        <v>234</v>
      </c>
      <c r="C691">
        <v>6200</v>
      </c>
      <c r="D691" t="s">
        <v>151</v>
      </c>
      <c r="E691" t="s">
        <v>235</v>
      </c>
      <c r="F691" t="s">
        <v>237</v>
      </c>
      <c r="G691" t="str">
        <f t="shared" si="13"/>
        <v>DB 502Dyskretne grafit refleks</v>
      </c>
    </row>
    <row r="692" spans="1:9" x14ac:dyDescent="0.35">
      <c r="A692">
        <v>502</v>
      </c>
      <c r="B692" t="s">
        <v>234</v>
      </c>
      <c r="C692">
        <v>6200</v>
      </c>
      <c r="D692" t="s">
        <v>151</v>
      </c>
      <c r="E692" t="s">
        <v>235</v>
      </c>
      <c r="F692" t="s">
        <v>238</v>
      </c>
      <c r="G692" t="str">
        <f t="shared" si="13"/>
        <v>DB 502Dyskretne lustrzane</v>
      </c>
    </row>
    <row r="693" spans="1:9" x14ac:dyDescent="0.35">
      <c r="A693">
        <v>502</v>
      </c>
      <c r="B693" t="s">
        <v>234</v>
      </c>
      <c r="C693">
        <v>6200</v>
      </c>
      <c r="D693" t="s">
        <v>151</v>
      </c>
      <c r="E693" t="s">
        <v>235</v>
      </c>
      <c r="F693" t="s">
        <v>239</v>
      </c>
      <c r="G693" t="str">
        <f t="shared" si="13"/>
        <v>DB 502Dyskretne lustro weneckie w głębi</v>
      </c>
    </row>
    <row r="694" spans="1:9" x14ac:dyDescent="0.35">
      <c r="A694">
        <v>506</v>
      </c>
      <c r="B694" t="s">
        <v>240</v>
      </c>
      <c r="C694">
        <v>6200</v>
      </c>
      <c r="D694" t="s">
        <v>151</v>
      </c>
      <c r="E694" t="s">
        <v>235</v>
      </c>
      <c r="F694" t="s">
        <v>236</v>
      </c>
      <c r="G694" t="str">
        <f t="shared" si="13"/>
        <v>DB 506Dyskretne brąz refleks</v>
      </c>
    </row>
    <row r="695" spans="1:9" x14ac:dyDescent="0.35">
      <c r="A695">
        <v>506</v>
      </c>
      <c r="B695" t="s">
        <v>240</v>
      </c>
      <c r="C695">
        <v>6200</v>
      </c>
      <c r="D695" t="s">
        <v>151</v>
      </c>
      <c r="E695" t="s">
        <v>235</v>
      </c>
      <c r="F695" t="s">
        <v>237</v>
      </c>
      <c r="G695" t="str">
        <f t="shared" si="13"/>
        <v>DB 506Dyskretne grafit refleks</v>
      </c>
    </row>
    <row r="696" spans="1:9" x14ac:dyDescent="0.35">
      <c r="A696">
        <v>506</v>
      </c>
      <c r="B696" t="s">
        <v>240</v>
      </c>
      <c r="C696">
        <v>6200</v>
      </c>
      <c r="D696" t="s">
        <v>151</v>
      </c>
      <c r="E696" t="s">
        <v>235</v>
      </c>
      <c r="F696" t="s">
        <v>238</v>
      </c>
      <c r="G696" t="str">
        <f t="shared" si="13"/>
        <v>DB 506Dyskretne lustrzane</v>
      </c>
    </row>
    <row r="697" spans="1:9" x14ac:dyDescent="0.35">
      <c r="A697">
        <v>506</v>
      </c>
      <c r="B697" t="s">
        <v>240</v>
      </c>
      <c r="C697">
        <v>6200</v>
      </c>
      <c r="D697" t="s">
        <v>151</v>
      </c>
      <c r="E697" t="s">
        <v>235</v>
      </c>
      <c r="F697" t="s">
        <v>239</v>
      </c>
      <c r="G697" t="str">
        <f t="shared" si="13"/>
        <v>DB 506Dyskretne lustro weneckie w głębi</v>
      </c>
    </row>
    <row r="698" spans="1:9" x14ac:dyDescent="0.35">
      <c r="A698">
        <v>510</v>
      </c>
      <c r="B698" t="s">
        <v>241</v>
      </c>
      <c r="C698">
        <v>6200</v>
      </c>
      <c r="D698" t="s">
        <v>151</v>
      </c>
      <c r="E698" t="s">
        <v>235</v>
      </c>
      <c r="F698" t="s">
        <v>236</v>
      </c>
      <c r="G698" t="str">
        <f t="shared" si="13"/>
        <v>DB 510Dyskretne brąz refleks</v>
      </c>
    </row>
    <row r="699" spans="1:9" x14ac:dyDescent="0.35">
      <c r="A699">
        <v>510</v>
      </c>
      <c r="B699" t="s">
        <v>241</v>
      </c>
      <c r="C699">
        <v>6200</v>
      </c>
      <c r="D699" t="s">
        <v>151</v>
      </c>
      <c r="E699" t="s">
        <v>235</v>
      </c>
      <c r="F699" t="s">
        <v>237</v>
      </c>
      <c r="G699" t="str">
        <f t="shared" si="13"/>
        <v>DB 510Dyskretne grafit refleks</v>
      </c>
    </row>
    <row r="700" spans="1:9" x14ac:dyDescent="0.35">
      <c r="A700">
        <v>510</v>
      </c>
      <c r="B700" t="s">
        <v>241</v>
      </c>
      <c r="C700">
        <v>6200</v>
      </c>
      <c r="D700" t="s">
        <v>151</v>
      </c>
      <c r="E700" t="s">
        <v>235</v>
      </c>
      <c r="F700" t="s">
        <v>238</v>
      </c>
      <c r="G700" t="str">
        <f t="shared" si="13"/>
        <v>DB 510Dyskretne lustrzane</v>
      </c>
    </row>
    <row r="701" spans="1:9" x14ac:dyDescent="0.35">
      <c r="A701">
        <v>510</v>
      </c>
      <c r="B701" t="s">
        <v>241</v>
      </c>
      <c r="C701">
        <v>6200</v>
      </c>
      <c r="D701" t="s">
        <v>151</v>
      </c>
      <c r="E701" t="s">
        <v>235</v>
      </c>
      <c r="F701" t="s">
        <v>239</v>
      </c>
      <c r="G701" t="str">
        <f t="shared" si="13"/>
        <v>DB 510Dyskretne lustro weneckie w głębi</v>
      </c>
    </row>
    <row r="702" spans="1:9" x14ac:dyDescent="0.35">
      <c r="A702">
        <v>511</v>
      </c>
      <c r="B702" t="s">
        <v>242</v>
      </c>
      <c r="C702">
        <v>6200</v>
      </c>
      <c r="D702" t="s">
        <v>151</v>
      </c>
      <c r="E702" t="s">
        <v>235</v>
      </c>
      <c r="F702" t="s">
        <v>236</v>
      </c>
      <c r="G702" t="str">
        <f t="shared" si="13"/>
        <v>DB 511Dyskretne brąz refleks</v>
      </c>
    </row>
    <row r="703" spans="1:9" x14ac:dyDescent="0.35">
      <c r="A703">
        <v>511</v>
      </c>
      <c r="B703" t="s">
        <v>242</v>
      </c>
      <c r="C703">
        <v>6200</v>
      </c>
      <c r="D703" t="s">
        <v>151</v>
      </c>
      <c r="E703" t="s">
        <v>235</v>
      </c>
      <c r="F703" t="s">
        <v>237</v>
      </c>
      <c r="G703" t="str">
        <f t="shared" si="13"/>
        <v>DB 511Dyskretne grafit refleks</v>
      </c>
    </row>
    <row r="704" spans="1:9" x14ac:dyDescent="0.35">
      <c r="A704">
        <v>511</v>
      </c>
      <c r="B704" t="s">
        <v>242</v>
      </c>
      <c r="C704">
        <v>6200</v>
      </c>
      <c r="D704" t="s">
        <v>151</v>
      </c>
      <c r="E704" t="s">
        <v>235</v>
      </c>
      <c r="F704" t="s">
        <v>238</v>
      </c>
      <c r="G704" t="str">
        <f t="shared" si="13"/>
        <v>DB 511Dyskretne lustrzane</v>
      </c>
    </row>
    <row r="705" spans="1:7" x14ac:dyDescent="0.35">
      <c r="A705">
        <v>511</v>
      </c>
      <c r="B705" t="s">
        <v>242</v>
      </c>
      <c r="C705">
        <v>6200</v>
      </c>
      <c r="D705" t="s">
        <v>151</v>
      </c>
      <c r="E705" t="s">
        <v>235</v>
      </c>
      <c r="F705" t="s">
        <v>239</v>
      </c>
      <c r="G705" t="str">
        <f t="shared" si="13"/>
        <v>DB 511Dyskretne lustro weneckie w głębi</v>
      </c>
    </row>
    <row r="706" spans="1:7" x14ac:dyDescent="0.35">
      <c r="A706">
        <v>512</v>
      </c>
      <c r="B706" t="s">
        <v>243</v>
      </c>
      <c r="C706">
        <v>6200</v>
      </c>
      <c r="D706" t="s">
        <v>151</v>
      </c>
      <c r="E706" t="s">
        <v>235</v>
      </c>
      <c r="F706" t="s">
        <v>236</v>
      </c>
      <c r="G706" t="str">
        <f t="shared" si="13"/>
        <v>DB 512Dyskretne brąz refleks</v>
      </c>
    </row>
    <row r="707" spans="1:7" x14ac:dyDescent="0.35">
      <c r="A707">
        <v>512</v>
      </c>
      <c r="B707" t="s">
        <v>243</v>
      </c>
      <c r="C707">
        <v>6200</v>
      </c>
      <c r="D707" t="s">
        <v>151</v>
      </c>
      <c r="E707" t="s">
        <v>235</v>
      </c>
      <c r="F707" t="s">
        <v>237</v>
      </c>
      <c r="G707" t="str">
        <f t="shared" si="13"/>
        <v>DB 512Dyskretne grafit refleks</v>
      </c>
    </row>
    <row r="708" spans="1:7" x14ac:dyDescent="0.35">
      <c r="A708">
        <v>512</v>
      </c>
      <c r="B708" t="s">
        <v>243</v>
      </c>
      <c r="C708">
        <v>6200</v>
      </c>
      <c r="D708" t="s">
        <v>151</v>
      </c>
      <c r="E708" t="s">
        <v>235</v>
      </c>
      <c r="F708" t="s">
        <v>238</v>
      </c>
      <c r="G708" t="str">
        <f t="shared" si="13"/>
        <v>DB 512Dyskretne lustrzane</v>
      </c>
    </row>
    <row r="709" spans="1:7" x14ac:dyDescent="0.35">
      <c r="A709">
        <v>512</v>
      </c>
      <c r="B709" t="s">
        <v>243</v>
      </c>
      <c r="C709">
        <v>6200</v>
      </c>
      <c r="D709" t="s">
        <v>151</v>
      </c>
      <c r="E709" t="s">
        <v>235</v>
      </c>
      <c r="F709" t="s">
        <v>239</v>
      </c>
      <c r="G709" t="str">
        <f t="shared" si="13"/>
        <v>DB 512Dyskretne lustro weneckie w głębi</v>
      </c>
    </row>
    <row r="710" spans="1:7" x14ac:dyDescent="0.35">
      <c r="A710">
        <v>513</v>
      </c>
      <c r="B710" t="s">
        <v>244</v>
      </c>
      <c r="C710">
        <v>6200</v>
      </c>
      <c r="D710" t="s">
        <v>151</v>
      </c>
      <c r="E710" t="s">
        <v>235</v>
      </c>
      <c r="F710" t="s">
        <v>236</v>
      </c>
      <c r="G710" t="str">
        <f t="shared" si="13"/>
        <v>DB 513Dyskretne brąz refleks</v>
      </c>
    </row>
    <row r="711" spans="1:7" x14ac:dyDescent="0.35">
      <c r="A711">
        <v>513</v>
      </c>
      <c r="B711" t="s">
        <v>244</v>
      </c>
      <c r="C711">
        <v>6200</v>
      </c>
      <c r="D711" t="s">
        <v>151</v>
      </c>
      <c r="E711" t="s">
        <v>235</v>
      </c>
      <c r="F711" t="s">
        <v>237</v>
      </c>
      <c r="G711" t="str">
        <f t="shared" si="13"/>
        <v>DB 513Dyskretne grafit refleks</v>
      </c>
    </row>
    <row r="712" spans="1:7" x14ac:dyDescent="0.35">
      <c r="A712">
        <v>513</v>
      </c>
      <c r="B712" t="s">
        <v>244</v>
      </c>
      <c r="C712">
        <v>6200</v>
      </c>
      <c r="D712" t="s">
        <v>151</v>
      </c>
      <c r="E712" t="s">
        <v>235</v>
      </c>
      <c r="F712" t="s">
        <v>238</v>
      </c>
      <c r="G712" t="str">
        <f t="shared" si="13"/>
        <v>DB 513Dyskretne lustrzane</v>
      </c>
    </row>
    <row r="713" spans="1:7" x14ac:dyDescent="0.35">
      <c r="A713">
        <v>513</v>
      </c>
      <c r="B713" t="s">
        <v>244</v>
      </c>
      <c r="C713">
        <v>6200</v>
      </c>
      <c r="D713" t="s">
        <v>151</v>
      </c>
      <c r="E713" t="s">
        <v>235</v>
      </c>
      <c r="F713" t="s">
        <v>239</v>
      </c>
      <c r="G713" t="str">
        <f t="shared" si="13"/>
        <v>DB 513Dyskretne lustro weneckie w głębi</v>
      </c>
    </row>
    <row r="714" spans="1:7" x14ac:dyDescent="0.35">
      <c r="A714">
        <v>514</v>
      </c>
      <c r="B714" t="s">
        <v>245</v>
      </c>
      <c r="C714">
        <v>6200</v>
      </c>
      <c r="D714" t="s">
        <v>151</v>
      </c>
      <c r="E714" t="s">
        <v>235</v>
      </c>
      <c r="F714" t="s">
        <v>236</v>
      </c>
      <c r="G714" t="str">
        <f t="shared" si="13"/>
        <v>DB 514Dyskretne brąz refleks</v>
      </c>
    </row>
    <row r="715" spans="1:7" x14ac:dyDescent="0.35">
      <c r="A715">
        <v>514</v>
      </c>
      <c r="B715" t="s">
        <v>245</v>
      </c>
      <c r="C715">
        <v>6200</v>
      </c>
      <c r="D715" t="s">
        <v>151</v>
      </c>
      <c r="E715" t="s">
        <v>235</v>
      </c>
      <c r="F715" t="s">
        <v>237</v>
      </c>
      <c r="G715" t="str">
        <f t="shared" si="13"/>
        <v>DB 514Dyskretne grafit refleks</v>
      </c>
    </row>
    <row r="716" spans="1:7" x14ac:dyDescent="0.35">
      <c r="A716">
        <v>514</v>
      </c>
      <c r="B716" t="s">
        <v>245</v>
      </c>
      <c r="C716">
        <v>6200</v>
      </c>
      <c r="D716" t="s">
        <v>151</v>
      </c>
      <c r="E716" t="s">
        <v>235</v>
      </c>
      <c r="F716" t="s">
        <v>238</v>
      </c>
      <c r="G716" t="str">
        <f t="shared" si="13"/>
        <v>DB 514Dyskretne lustrzane</v>
      </c>
    </row>
    <row r="717" spans="1:7" x14ac:dyDescent="0.35">
      <c r="A717">
        <v>514</v>
      </c>
      <c r="B717" t="s">
        <v>245</v>
      </c>
      <c r="C717">
        <v>6200</v>
      </c>
      <c r="D717" t="s">
        <v>151</v>
      </c>
      <c r="E717" t="s">
        <v>235</v>
      </c>
      <c r="F717" t="s">
        <v>239</v>
      </c>
      <c r="G717" t="str">
        <f t="shared" si="13"/>
        <v>DB 514Dyskretne lustro weneckie w głębi</v>
      </c>
    </row>
    <row r="718" spans="1:7" x14ac:dyDescent="0.35">
      <c r="A718">
        <v>515</v>
      </c>
      <c r="B718" t="s">
        <v>246</v>
      </c>
      <c r="C718">
        <v>6200</v>
      </c>
      <c r="D718" t="s">
        <v>151</v>
      </c>
      <c r="E718" t="s">
        <v>235</v>
      </c>
      <c r="F718" t="s">
        <v>236</v>
      </c>
      <c r="G718" t="str">
        <f t="shared" si="13"/>
        <v>DB 515Dyskretne brąz refleks</v>
      </c>
    </row>
    <row r="719" spans="1:7" x14ac:dyDescent="0.35">
      <c r="A719">
        <v>515</v>
      </c>
      <c r="B719" t="s">
        <v>246</v>
      </c>
      <c r="C719">
        <v>6200</v>
      </c>
      <c r="D719" t="s">
        <v>151</v>
      </c>
      <c r="E719" t="s">
        <v>235</v>
      </c>
      <c r="F719" t="s">
        <v>237</v>
      </c>
      <c r="G719" t="str">
        <f t="shared" si="13"/>
        <v>DB 515Dyskretne grafit refleks</v>
      </c>
    </row>
    <row r="720" spans="1:7" x14ac:dyDescent="0.35">
      <c r="A720">
        <v>515</v>
      </c>
      <c r="B720" t="s">
        <v>246</v>
      </c>
      <c r="C720">
        <v>6200</v>
      </c>
      <c r="D720" t="s">
        <v>151</v>
      </c>
      <c r="E720" t="s">
        <v>235</v>
      </c>
      <c r="F720" t="s">
        <v>238</v>
      </c>
      <c r="G720" t="str">
        <f t="shared" si="13"/>
        <v>DB 515Dyskretne lustrzane</v>
      </c>
    </row>
    <row r="721" spans="1:7" x14ac:dyDescent="0.35">
      <c r="A721">
        <v>515</v>
      </c>
      <c r="B721" t="s">
        <v>246</v>
      </c>
      <c r="C721">
        <v>6200</v>
      </c>
      <c r="D721" t="s">
        <v>151</v>
      </c>
      <c r="E721" t="s">
        <v>235</v>
      </c>
      <c r="F721" t="s">
        <v>239</v>
      </c>
      <c r="G721" t="str">
        <f t="shared" si="13"/>
        <v>DB 515Dyskretne lustro weneckie w głębi</v>
      </c>
    </row>
    <row r="722" spans="1:7" x14ac:dyDescent="0.35">
      <c r="A722">
        <v>516</v>
      </c>
      <c r="B722" t="s">
        <v>247</v>
      </c>
      <c r="C722">
        <v>6200</v>
      </c>
      <c r="D722" t="s">
        <v>151</v>
      </c>
      <c r="E722" t="s">
        <v>235</v>
      </c>
      <c r="F722" t="s">
        <v>236</v>
      </c>
      <c r="G722" t="str">
        <f t="shared" si="13"/>
        <v>DB 516Dyskretne brąz refleks</v>
      </c>
    </row>
    <row r="723" spans="1:7" x14ac:dyDescent="0.35">
      <c r="A723">
        <v>516</v>
      </c>
      <c r="B723" t="s">
        <v>247</v>
      </c>
      <c r="C723">
        <v>6200</v>
      </c>
      <c r="D723" t="s">
        <v>151</v>
      </c>
      <c r="E723" t="s">
        <v>235</v>
      </c>
      <c r="F723" t="s">
        <v>237</v>
      </c>
      <c r="G723" t="str">
        <f t="shared" si="13"/>
        <v>DB 516Dyskretne grafit refleks</v>
      </c>
    </row>
    <row r="724" spans="1:7" x14ac:dyDescent="0.35">
      <c r="A724">
        <v>516</v>
      </c>
      <c r="B724" t="s">
        <v>247</v>
      </c>
      <c r="C724">
        <v>6200</v>
      </c>
      <c r="D724" t="s">
        <v>151</v>
      </c>
      <c r="E724" t="s">
        <v>235</v>
      </c>
      <c r="F724" t="s">
        <v>238</v>
      </c>
      <c r="G724" t="str">
        <f t="shared" si="13"/>
        <v>DB 516Dyskretne lustrzane</v>
      </c>
    </row>
    <row r="725" spans="1:7" x14ac:dyDescent="0.35">
      <c r="A725">
        <v>516</v>
      </c>
      <c r="B725" t="s">
        <v>247</v>
      </c>
      <c r="C725">
        <v>6200</v>
      </c>
      <c r="D725" t="s">
        <v>151</v>
      </c>
      <c r="E725" t="s">
        <v>235</v>
      </c>
      <c r="F725" t="s">
        <v>239</v>
      </c>
      <c r="G725" t="str">
        <f t="shared" si="13"/>
        <v>DB 516Dyskretne lustro weneckie w głębi</v>
      </c>
    </row>
    <row r="726" spans="1:7" x14ac:dyDescent="0.35">
      <c r="A726">
        <v>517</v>
      </c>
      <c r="B726" t="s">
        <v>248</v>
      </c>
      <c r="C726">
        <v>6200</v>
      </c>
      <c r="D726" t="s">
        <v>151</v>
      </c>
      <c r="E726" t="s">
        <v>235</v>
      </c>
      <c r="F726" t="s">
        <v>236</v>
      </c>
      <c r="G726" t="str">
        <f t="shared" ref="G726:G743" si="14">B726&amp;F726</f>
        <v>DB 517Dyskretne brąz refleks</v>
      </c>
    </row>
    <row r="727" spans="1:7" x14ac:dyDescent="0.35">
      <c r="A727">
        <v>517</v>
      </c>
      <c r="B727" t="s">
        <v>248</v>
      </c>
      <c r="C727">
        <v>6200</v>
      </c>
      <c r="D727" t="s">
        <v>151</v>
      </c>
      <c r="E727" t="s">
        <v>235</v>
      </c>
      <c r="F727" t="s">
        <v>237</v>
      </c>
      <c r="G727" t="str">
        <f t="shared" si="14"/>
        <v>DB 517Dyskretne grafit refleks</v>
      </c>
    </row>
    <row r="728" spans="1:7" x14ac:dyDescent="0.35">
      <c r="A728">
        <v>517</v>
      </c>
      <c r="B728" t="s">
        <v>248</v>
      </c>
      <c r="C728">
        <v>6200</v>
      </c>
      <c r="D728" t="s">
        <v>151</v>
      </c>
      <c r="E728" t="s">
        <v>235</v>
      </c>
      <c r="F728" t="s">
        <v>238</v>
      </c>
      <c r="G728" t="str">
        <f t="shared" si="14"/>
        <v>DB 517Dyskretne lustrzane</v>
      </c>
    </row>
    <row r="729" spans="1:7" x14ac:dyDescent="0.35">
      <c r="A729">
        <v>517</v>
      </c>
      <c r="B729" t="s">
        <v>248</v>
      </c>
      <c r="C729">
        <v>6200</v>
      </c>
      <c r="D729" t="s">
        <v>151</v>
      </c>
      <c r="E729" t="s">
        <v>235</v>
      </c>
      <c r="F729" t="s">
        <v>239</v>
      </c>
      <c r="G729" t="str">
        <f t="shared" si="14"/>
        <v>DB 517Dyskretne lustro weneckie w głębi</v>
      </c>
    </row>
    <row r="730" spans="1:7" x14ac:dyDescent="0.35">
      <c r="A730">
        <v>601</v>
      </c>
      <c r="B730" t="s">
        <v>249</v>
      </c>
      <c r="C730">
        <v>5700</v>
      </c>
      <c r="D730" t="s">
        <v>151</v>
      </c>
      <c r="E730" t="s">
        <v>250</v>
      </c>
      <c r="F730" t="s">
        <v>97</v>
      </c>
      <c r="G730" t="str">
        <f t="shared" si="14"/>
        <v>DB 601Brak (pełne)</v>
      </c>
    </row>
    <row r="731" spans="1:7" x14ac:dyDescent="0.35">
      <c r="A731">
        <v>602</v>
      </c>
      <c r="B731" t="s">
        <v>251</v>
      </c>
      <c r="C731">
        <v>5000</v>
      </c>
      <c r="D731" t="s">
        <v>151</v>
      </c>
      <c r="E731" t="s">
        <v>250</v>
      </c>
      <c r="F731" t="s">
        <v>97</v>
      </c>
      <c r="G731" t="str">
        <f t="shared" si="14"/>
        <v>DB 602Brak (pełne)</v>
      </c>
    </row>
    <row r="732" spans="1:7" x14ac:dyDescent="0.35">
      <c r="A732">
        <v>603</v>
      </c>
      <c r="B732" t="s">
        <v>252</v>
      </c>
      <c r="C732">
        <v>5000</v>
      </c>
      <c r="D732" t="s">
        <v>151</v>
      </c>
      <c r="E732" t="s">
        <v>250</v>
      </c>
      <c r="F732" t="s">
        <v>97</v>
      </c>
      <c r="G732" t="str">
        <f t="shared" si="14"/>
        <v>DB 603Brak (pełne)</v>
      </c>
    </row>
    <row r="733" spans="1:7" x14ac:dyDescent="0.35">
      <c r="A733">
        <v>604</v>
      </c>
      <c r="B733" t="s">
        <v>253</v>
      </c>
      <c r="C733">
        <v>5000</v>
      </c>
      <c r="D733" t="s">
        <v>151</v>
      </c>
      <c r="E733" t="s">
        <v>250</v>
      </c>
      <c r="F733" t="s">
        <v>97</v>
      </c>
      <c r="G733" t="str">
        <f t="shared" si="14"/>
        <v>DB 604Brak (pełne)</v>
      </c>
    </row>
    <row r="734" spans="1:7" x14ac:dyDescent="0.35">
      <c r="A734">
        <v>605</v>
      </c>
      <c r="B734" t="s">
        <v>254</v>
      </c>
      <c r="C734">
        <v>6200</v>
      </c>
      <c r="D734" t="s">
        <v>151</v>
      </c>
      <c r="E734" t="s">
        <v>250</v>
      </c>
      <c r="F734" t="s">
        <v>236</v>
      </c>
      <c r="G734" t="str">
        <f t="shared" si="14"/>
        <v>DB 605Dyskretne brąz refleks</v>
      </c>
    </row>
    <row r="735" spans="1:7" x14ac:dyDescent="0.35">
      <c r="A735">
        <v>605</v>
      </c>
      <c r="B735" t="s">
        <v>254</v>
      </c>
      <c r="C735">
        <v>6200</v>
      </c>
      <c r="D735" t="s">
        <v>151</v>
      </c>
      <c r="E735" t="s">
        <v>250</v>
      </c>
      <c r="F735" t="s">
        <v>237</v>
      </c>
      <c r="G735" t="str">
        <f t="shared" si="14"/>
        <v>DB 605Dyskretne grafit refleks</v>
      </c>
    </row>
    <row r="736" spans="1:7" x14ac:dyDescent="0.35">
      <c r="A736">
        <v>605</v>
      </c>
      <c r="B736" t="s">
        <v>254</v>
      </c>
      <c r="C736">
        <v>6200</v>
      </c>
      <c r="D736" t="s">
        <v>151</v>
      </c>
      <c r="E736" t="s">
        <v>250</v>
      </c>
      <c r="F736" t="s">
        <v>238</v>
      </c>
      <c r="G736" t="str">
        <f t="shared" si="14"/>
        <v>DB 605Dyskretne lustrzane</v>
      </c>
    </row>
    <row r="737" spans="1:7" x14ac:dyDescent="0.35">
      <c r="A737">
        <v>605</v>
      </c>
      <c r="B737" t="s">
        <v>254</v>
      </c>
      <c r="C737">
        <v>6200</v>
      </c>
      <c r="D737" t="s">
        <v>151</v>
      </c>
      <c r="E737" t="s">
        <v>250</v>
      </c>
      <c r="F737" t="s">
        <v>239</v>
      </c>
      <c r="G737" t="str">
        <f t="shared" si="14"/>
        <v>DB 605Dyskretne lustro weneckie w głębi</v>
      </c>
    </row>
    <row r="738" spans="1:7" x14ac:dyDescent="0.35">
      <c r="A738">
        <v>606</v>
      </c>
      <c r="B738" t="s">
        <v>255</v>
      </c>
      <c r="C738">
        <v>6700</v>
      </c>
      <c r="D738" t="s">
        <v>151</v>
      </c>
      <c r="E738" t="s">
        <v>250</v>
      </c>
      <c r="F738" t="s">
        <v>236</v>
      </c>
      <c r="G738" t="str">
        <f t="shared" si="14"/>
        <v>DB 606Dyskretne brąz refleks</v>
      </c>
    </row>
    <row r="739" spans="1:7" x14ac:dyDescent="0.35">
      <c r="A739">
        <v>606</v>
      </c>
      <c r="B739" t="s">
        <v>255</v>
      </c>
      <c r="C739">
        <v>6700</v>
      </c>
      <c r="D739" t="s">
        <v>151</v>
      </c>
      <c r="E739" t="s">
        <v>250</v>
      </c>
      <c r="F739" t="s">
        <v>237</v>
      </c>
      <c r="G739" t="str">
        <f t="shared" si="14"/>
        <v>DB 606Dyskretne grafit refleks</v>
      </c>
    </row>
    <row r="740" spans="1:7" x14ac:dyDescent="0.35">
      <c r="A740">
        <v>606</v>
      </c>
      <c r="B740" t="s">
        <v>255</v>
      </c>
      <c r="C740">
        <v>6700</v>
      </c>
      <c r="D740" t="s">
        <v>151</v>
      </c>
      <c r="E740" t="s">
        <v>250</v>
      </c>
      <c r="F740" t="s">
        <v>238</v>
      </c>
      <c r="G740" t="str">
        <f t="shared" si="14"/>
        <v>DB 606Dyskretne lustrzane</v>
      </c>
    </row>
    <row r="741" spans="1:7" x14ac:dyDescent="0.35">
      <c r="A741">
        <v>606</v>
      </c>
      <c r="B741" t="s">
        <v>255</v>
      </c>
      <c r="C741">
        <v>6700</v>
      </c>
      <c r="D741" t="s">
        <v>151</v>
      </c>
      <c r="E741" t="s">
        <v>250</v>
      </c>
      <c r="F741" t="s">
        <v>239</v>
      </c>
      <c r="G741" t="str">
        <f t="shared" si="14"/>
        <v>DB 606Dyskretne lustro weneckie w głębi</v>
      </c>
    </row>
    <row r="742" spans="1:7" x14ac:dyDescent="0.35">
      <c r="A742">
        <v>607</v>
      </c>
      <c r="B742" t="s">
        <v>256</v>
      </c>
      <c r="C742">
        <v>5700</v>
      </c>
      <c r="D742" t="s">
        <v>151</v>
      </c>
      <c r="E742" t="s">
        <v>250</v>
      </c>
      <c r="F742" t="s">
        <v>97</v>
      </c>
      <c r="G742" t="str">
        <f t="shared" si="14"/>
        <v>DB 607Brak (pełne)</v>
      </c>
    </row>
    <row r="743" spans="1:7" x14ac:dyDescent="0.35">
      <c r="A743">
        <v>609</v>
      </c>
      <c r="B743" t="s">
        <v>257</v>
      </c>
      <c r="C743">
        <v>5000</v>
      </c>
      <c r="D743" t="s">
        <v>151</v>
      </c>
      <c r="E743" t="s">
        <v>250</v>
      </c>
      <c r="F743" t="s">
        <v>97</v>
      </c>
      <c r="G743" t="str">
        <f t="shared" si="14"/>
        <v>DB 609Brak (pełne)</v>
      </c>
    </row>
  </sheetData>
  <sheetProtection algorithmName="SHA-512" hashValue="b8ErUwTtHOgQCbL2G26Fbu8FbRc1U2Hd0B2/wmMlbtZ1/x2OUMSpzEniwp1lMmoZJslF6OtrSxoLjYG8otrqWg==" saltValue="W4kjCVQf+z6Trhfc6Tl8QA==" spinCount="100000" sheet="1" objects="1" scenarios="1"/>
  <autoFilter ref="A1:I743" xr:uid="{FB650689-C508-41BA-AECD-6795AD791F43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B832-BC46-4833-9D65-A4B8AE11EB6A}">
  <sheetPr codeName="Arkusz3"/>
  <dimension ref="A1:JF232"/>
  <sheetViews>
    <sheetView zoomScaleNormal="100" workbookViewId="0">
      <pane xSplit="1" ySplit="2" topLeftCell="BP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0" defaultRowHeight="14.5" x14ac:dyDescent="0.35"/>
  <cols>
    <col min="1" max="1" width="9.08984375" hidden="1" customWidth="1"/>
    <col min="2" max="2" width="34.54296875" hidden="1" customWidth="1"/>
    <col min="3" max="3" width="37.6328125" hidden="1" customWidth="1"/>
    <col min="4" max="4" width="41.90625" hidden="1" customWidth="1"/>
    <col min="5" max="9" width="35" hidden="1" customWidth="1"/>
    <col min="10" max="10" width="29.54296875" hidden="1" customWidth="1"/>
    <col min="11" max="11" width="23.6328125" hidden="1" customWidth="1"/>
    <col min="12" max="12" width="9.08984375" hidden="1" customWidth="1"/>
    <col min="13" max="13" width="15.54296875" hidden="1" customWidth="1"/>
    <col min="14" max="14" width="9.08984375" hidden="1" customWidth="1"/>
    <col min="15" max="15" width="11.36328125" hidden="1" customWidth="1"/>
    <col min="16" max="16" width="9.08984375" hidden="1" customWidth="1"/>
    <col min="17" max="17" width="21.08984375" hidden="1" customWidth="1"/>
    <col min="18" max="18" width="9.08984375" hidden="1" customWidth="1"/>
    <col min="19" max="19" width="22.6328125" hidden="1" customWidth="1"/>
    <col min="20" max="20" width="21.08984375" hidden="1" customWidth="1"/>
    <col min="21" max="21" width="9.08984375" hidden="1" customWidth="1"/>
    <col min="22" max="22" width="29.08984375" hidden="1" customWidth="1"/>
    <col min="23" max="24" width="9.08984375" hidden="1" customWidth="1"/>
    <col min="25" max="25" width="21.6328125" hidden="1" customWidth="1"/>
    <col min="26" max="26" width="9.08984375" hidden="1" customWidth="1"/>
    <col min="27" max="28" width="23.90625" hidden="1" customWidth="1"/>
    <col min="29" max="29" width="24.08984375" hidden="1" customWidth="1"/>
    <col min="30" max="30" width="9.08984375" hidden="1" customWidth="1"/>
    <col min="31" max="32" width="11.453125" hidden="1" customWidth="1"/>
    <col min="33" max="34" width="9.08984375" hidden="1" customWidth="1"/>
    <col min="35" max="36" width="15.54296875" hidden="1" customWidth="1"/>
    <col min="37" max="37" width="14.6328125" hidden="1" customWidth="1"/>
    <col min="38" max="38" width="9.08984375" hidden="1" customWidth="1"/>
    <col min="39" max="42" width="23.36328125" hidden="1" customWidth="1"/>
    <col min="43" max="43" width="9.08984375" hidden="1" customWidth="1"/>
    <col min="44" max="44" width="11.36328125" hidden="1" customWidth="1"/>
    <col min="45" max="45" width="20.54296875" hidden="1" customWidth="1"/>
    <col min="46" max="46" width="19.90625" hidden="1" customWidth="1"/>
    <col min="47" max="49" width="9.08984375" hidden="1" customWidth="1"/>
    <col min="50" max="50" width="10.54296875" hidden="1" customWidth="1"/>
    <col min="51" max="52" width="14.6328125" hidden="1" customWidth="1"/>
    <col min="53" max="53" width="19.90625" hidden="1" customWidth="1"/>
    <col min="54" max="54" width="14.6328125" hidden="1" customWidth="1"/>
    <col min="55" max="55" width="20.36328125" hidden="1" customWidth="1"/>
    <col min="56" max="56" width="9.08984375" hidden="1" customWidth="1"/>
    <col min="57" max="57" width="19.453125" hidden="1" customWidth="1"/>
    <col min="58" max="58" width="13.36328125" hidden="1" customWidth="1"/>
    <col min="59" max="59" width="20.54296875" hidden="1" customWidth="1"/>
    <col min="60" max="60" width="9.08984375" hidden="1" customWidth="1"/>
    <col min="61" max="61" width="19.54296875" hidden="1" customWidth="1"/>
    <col min="62" max="62" width="9.08984375" hidden="1" customWidth="1"/>
    <col min="63" max="63" width="23" hidden="1" customWidth="1"/>
    <col min="64" max="64" width="21.453125" hidden="1" customWidth="1"/>
    <col min="65" max="65" width="19.453125" hidden="1" customWidth="1"/>
    <col min="66" max="66" width="9.08984375" hidden="1" customWidth="1"/>
    <col min="67" max="70" width="26.54296875" hidden="1" customWidth="1"/>
    <col min="71" max="71" width="22.36328125" hidden="1" customWidth="1"/>
    <col min="72" max="72" width="9.08984375" hidden="1" customWidth="1"/>
    <col min="73" max="74" width="20.6328125" hidden="1" customWidth="1"/>
    <col min="75" max="76" width="25.453125" hidden="1" customWidth="1"/>
    <col min="77" max="77" width="22" hidden="1" customWidth="1"/>
    <col min="78" max="81" width="20.6328125" hidden="1" customWidth="1"/>
    <col min="82" max="83" width="32" hidden="1" customWidth="1"/>
    <col min="84" max="86" width="24" hidden="1" customWidth="1"/>
    <col min="87" max="87" width="9.08984375" hidden="1" customWidth="1"/>
    <col min="88" max="88" width="18.08984375" hidden="1" customWidth="1"/>
    <col min="89" max="89" width="9.08984375" hidden="1" customWidth="1"/>
    <col min="90" max="90" width="19.90625" hidden="1" customWidth="1"/>
    <col min="91" max="91" width="12.54296875" hidden="1" customWidth="1"/>
    <col min="92" max="92" width="9.08984375" hidden="1" customWidth="1"/>
    <col min="93" max="93" width="51" hidden="1" customWidth="1"/>
    <col min="94" max="94" width="22.54296875" hidden="1" customWidth="1"/>
    <col min="95" max="95" width="46.453125" hidden="1" customWidth="1"/>
    <col min="96" max="96" width="43.6328125" hidden="1" customWidth="1"/>
    <col min="97" max="98" width="51" hidden="1" customWidth="1"/>
    <col min="99" max="99" width="36.36328125" hidden="1" customWidth="1"/>
    <col min="100" max="100" width="9.08984375" hidden="1" customWidth="1"/>
    <col min="101" max="101" width="26.6328125" hidden="1" customWidth="1"/>
    <col min="102" max="103" width="23.6328125" hidden="1" customWidth="1"/>
    <col min="104" max="104" width="26.36328125" hidden="1" customWidth="1"/>
    <col min="105" max="105" width="23.6328125" hidden="1" customWidth="1"/>
    <col min="106" max="106" width="27.90625" hidden="1" customWidth="1"/>
    <col min="107" max="107" width="23.6328125" hidden="1" customWidth="1"/>
    <col min="108" max="108" width="9.08984375" hidden="1" customWidth="1"/>
    <col min="109" max="109" width="26.6328125" hidden="1" customWidth="1"/>
    <col min="110" max="113" width="23.6328125" hidden="1" customWidth="1"/>
    <col min="114" max="114" width="9.08984375" hidden="1" customWidth="1"/>
    <col min="115" max="115" width="23.6328125" hidden="1" customWidth="1"/>
    <col min="116" max="116" width="27.90625" hidden="1" customWidth="1"/>
    <col min="117" max="119" width="23.6328125" hidden="1" customWidth="1"/>
    <col min="120" max="120" width="9.08984375" hidden="1" customWidth="1"/>
    <col min="121" max="121" width="24.54296875" hidden="1" customWidth="1"/>
    <col min="122" max="122" width="21.6328125" hidden="1" customWidth="1"/>
    <col min="123" max="123" width="13.36328125" hidden="1" customWidth="1"/>
    <col min="124" max="125" width="27.90625" hidden="1" customWidth="1"/>
    <col min="126" max="126" width="9.08984375" hidden="1" customWidth="1"/>
    <col min="127" max="127" width="13.54296875" hidden="1" customWidth="1"/>
    <col min="128" max="128" width="9.08984375" hidden="1" customWidth="1"/>
    <col min="129" max="129" width="27.36328125" hidden="1" customWidth="1"/>
    <col min="130" max="130" width="7.36328125" hidden="1" customWidth="1"/>
    <col min="131" max="131" width="9.08984375" hidden="1" customWidth="1"/>
    <col min="132" max="132" width="27.36328125" hidden="1" customWidth="1"/>
    <col min="133" max="133" width="10" hidden="1" customWidth="1"/>
    <col min="134" max="134" width="20.08984375" hidden="1" customWidth="1"/>
    <col min="135" max="142" width="9.08984375" hidden="1" customWidth="1"/>
    <col min="143" max="143" width="17.6328125" hidden="1" customWidth="1"/>
    <col min="144" max="144" width="11.453125" hidden="1" customWidth="1"/>
    <col min="145" max="145" width="9.08984375" hidden="1" customWidth="1"/>
    <col min="146" max="146" width="19.36328125" hidden="1" customWidth="1"/>
    <col min="147" max="149" width="9.08984375" hidden="1" customWidth="1"/>
    <col min="150" max="151" width="15.90625" hidden="1" customWidth="1"/>
    <col min="152" max="152" width="19.6328125" hidden="1" customWidth="1"/>
    <col min="153" max="153" width="15.90625" hidden="1" customWidth="1"/>
    <col min="154" max="154" width="9.08984375" hidden="1" customWidth="1"/>
    <col min="155" max="156" width="16.08984375" hidden="1" customWidth="1"/>
    <col min="157" max="157" width="18.08984375" hidden="1" customWidth="1"/>
    <col min="158" max="158" width="17.90625" hidden="1" customWidth="1"/>
    <col min="159" max="159" width="16.08984375" hidden="1" customWidth="1"/>
    <col min="160" max="160" width="22.54296875" hidden="1" customWidth="1"/>
    <col min="161" max="161" width="32" hidden="1" customWidth="1"/>
    <col min="162" max="162" width="18.453125" hidden="1" customWidth="1"/>
    <col min="163" max="168" width="32.453125" hidden="1" customWidth="1"/>
    <col min="169" max="169" width="13" hidden="1" customWidth="1"/>
    <col min="170" max="170" width="18.90625" hidden="1" customWidth="1"/>
    <col min="171" max="171" width="9.08984375" hidden="1" customWidth="1"/>
    <col min="172" max="175" width="19" hidden="1" customWidth="1"/>
    <col min="176" max="176" width="16.90625" hidden="1" customWidth="1"/>
    <col min="177" max="177" width="14.36328125" hidden="1" customWidth="1"/>
    <col min="178" max="178" width="9.08984375" hidden="1" customWidth="1"/>
    <col min="179" max="179" width="45.453125" hidden="1" customWidth="1"/>
    <col min="180" max="180" width="46.453125" hidden="1" customWidth="1"/>
    <col min="181" max="181" width="47.08984375" hidden="1" customWidth="1"/>
    <col min="182" max="182" width="46.6328125" hidden="1" customWidth="1"/>
    <col min="183" max="183" width="61.90625" hidden="1" customWidth="1"/>
    <col min="184" max="184" width="12.90625" hidden="1" customWidth="1"/>
    <col min="185" max="190" width="31.36328125" hidden="1" customWidth="1"/>
    <col min="191" max="191" width="57.54296875" hidden="1" customWidth="1"/>
    <col min="192" max="192" width="41" hidden="1" customWidth="1"/>
    <col min="193" max="193" width="26" hidden="1" customWidth="1"/>
    <col min="194" max="194" width="57.54296875" hidden="1" customWidth="1"/>
    <col min="195" max="195" width="58.08984375" hidden="1" customWidth="1"/>
    <col min="196" max="204" width="25.36328125" hidden="1" customWidth="1"/>
    <col min="205" max="205" width="43.90625" hidden="1" customWidth="1"/>
    <col min="206" max="206" width="25" hidden="1" customWidth="1"/>
    <col min="207" max="209" width="27.36328125" hidden="1" customWidth="1"/>
    <col min="210" max="210" width="42.08984375" hidden="1" customWidth="1"/>
    <col min="211" max="211" width="8.54296875" hidden="1" customWidth="1"/>
    <col min="212" max="212" width="18.90625" hidden="1" customWidth="1"/>
    <col min="213" max="213" width="9.08984375" hidden="1" customWidth="1"/>
    <col min="214" max="214" width="34" hidden="1" customWidth="1"/>
    <col min="215" max="216" width="24.90625" hidden="1" customWidth="1"/>
    <col min="217" max="218" width="35.6328125" hidden="1" customWidth="1"/>
    <col min="219" max="219" width="33" hidden="1" customWidth="1"/>
    <col min="220" max="220" width="9.08984375" hidden="1" customWidth="1"/>
    <col min="221" max="221" width="31.08984375" hidden="1" customWidth="1"/>
    <col min="222" max="222" width="12.453125" hidden="1" customWidth="1"/>
    <col min="223" max="223" width="20.36328125" hidden="1" customWidth="1"/>
    <col min="224" max="224" width="33" hidden="1" customWidth="1"/>
    <col min="225" max="225" width="31.08984375" hidden="1" customWidth="1"/>
    <col min="226" max="227" width="9.08984375" hidden="1" customWidth="1"/>
    <col min="228" max="228" width="12.54296875" hidden="1" customWidth="1"/>
    <col min="229" max="229" width="19.36328125" hidden="1" customWidth="1"/>
    <col min="230" max="230" width="9.08984375" hidden="1" customWidth="1"/>
    <col min="231" max="231" width="33.453125" hidden="1" customWidth="1"/>
    <col min="232" max="232" width="12.90625" hidden="1" customWidth="1"/>
    <col min="233" max="235" width="17.54296875" hidden="1" customWidth="1"/>
    <col min="236" max="237" width="32.453125" hidden="1" customWidth="1"/>
    <col min="238" max="239" width="9.08984375" hidden="1" customWidth="1"/>
    <col min="240" max="240" width="11.453125" hidden="1" customWidth="1"/>
    <col min="241" max="241" width="9.08984375" hidden="1" customWidth="1"/>
    <col min="242" max="242" width="35" hidden="1" customWidth="1"/>
    <col min="243" max="244" width="9.08984375" hidden="1" customWidth="1"/>
    <col min="245" max="245" width="16" hidden="1" customWidth="1"/>
    <col min="246" max="247" width="9.08984375" hidden="1" customWidth="1"/>
    <col min="248" max="248" width="29.36328125" hidden="1" customWidth="1"/>
    <col min="249" max="253" width="9.08984375" hidden="1" customWidth="1"/>
    <col min="254" max="254" width="26.90625" hidden="1" customWidth="1"/>
    <col min="255" max="262" width="9.08984375" hidden="1" customWidth="1"/>
    <col min="263" max="263" width="13.90625" hidden="1" customWidth="1"/>
    <col min="264" max="264" width="19" hidden="1" customWidth="1"/>
    <col min="265" max="266" width="0" hidden="1" customWidth="1"/>
    <col min="267" max="16384" width="9.08984375" hidden="1"/>
  </cols>
  <sheetData>
    <row r="1" spans="1:266" x14ac:dyDescent="0.35">
      <c r="A1" t="s">
        <v>258</v>
      </c>
      <c r="M1" t="s">
        <v>7</v>
      </c>
      <c r="Q1" t="s">
        <v>9</v>
      </c>
      <c r="V1" t="s">
        <v>10</v>
      </c>
      <c r="Y1" t="s">
        <v>11</v>
      </c>
      <c r="AE1" t="s">
        <v>14</v>
      </c>
      <c r="AI1" t="s">
        <v>13</v>
      </c>
      <c r="AM1" t="s">
        <v>17</v>
      </c>
      <c r="AR1" t="s">
        <v>295</v>
      </c>
      <c r="AX1" t="s">
        <v>300</v>
      </c>
      <c r="BD1" t="s">
        <v>306</v>
      </c>
      <c r="BK1" t="s">
        <v>22</v>
      </c>
      <c r="BO1" t="s">
        <v>318</v>
      </c>
      <c r="BU1" t="s">
        <v>42</v>
      </c>
      <c r="CJ1" t="s">
        <v>323</v>
      </c>
      <c r="CO1" t="s">
        <v>325</v>
      </c>
      <c r="CW1" t="s">
        <v>342</v>
      </c>
      <c r="DE1" t="s">
        <v>344</v>
      </c>
      <c r="DQ1" t="s">
        <v>345</v>
      </c>
      <c r="DW1" s="10" t="s">
        <v>347</v>
      </c>
      <c r="DY1" s="7" t="s">
        <v>358</v>
      </c>
      <c r="DZ1" s="7"/>
      <c r="EA1" s="7"/>
      <c r="EB1" s="7" t="s">
        <v>363</v>
      </c>
      <c r="EG1" t="s">
        <v>364</v>
      </c>
      <c r="EJ1" t="s">
        <v>35</v>
      </c>
      <c r="EM1" t="s">
        <v>366</v>
      </c>
      <c r="ES1" t="s">
        <v>367</v>
      </c>
      <c r="EY1" t="s">
        <v>406</v>
      </c>
      <c r="FE1" s="10" t="s">
        <v>395</v>
      </c>
      <c r="FN1" s="10" t="s">
        <v>377</v>
      </c>
      <c r="FO1" s="14"/>
      <c r="FP1" s="14"/>
      <c r="FQ1" s="14"/>
      <c r="FR1" s="14"/>
      <c r="FW1" t="s">
        <v>45</v>
      </c>
      <c r="GD1">
        <v>1</v>
      </c>
      <c r="GE1">
        <v>2</v>
      </c>
      <c r="GF1">
        <v>3</v>
      </c>
      <c r="GG1">
        <v>4</v>
      </c>
      <c r="GH1">
        <v>5</v>
      </c>
      <c r="GI1">
        <v>6</v>
      </c>
      <c r="HF1" t="s">
        <v>496</v>
      </c>
      <c r="HM1" t="s">
        <v>511</v>
      </c>
      <c r="HS1" t="s">
        <v>517</v>
      </c>
      <c r="HW1" t="s">
        <v>530</v>
      </c>
      <c r="IE1" t="s">
        <v>61</v>
      </c>
      <c r="IH1" s="14" t="s">
        <v>62</v>
      </c>
      <c r="IK1" t="s">
        <v>63</v>
      </c>
      <c r="IN1" s="10" t="s">
        <v>64</v>
      </c>
      <c r="IQ1" t="s">
        <v>548</v>
      </c>
      <c r="IT1" t="s">
        <v>66</v>
      </c>
      <c r="IW1" s="14" t="s">
        <v>558</v>
      </c>
      <c r="IY1" t="s">
        <v>557</v>
      </c>
      <c r="JA1" t="s">
        <v>796</v>
      </c>
      <c r="JC1" s="14" t="s">
        <v>818</v>
      </c>
    </row>
    <row r="2" spans="1:266" s="14" customFormat="1" ht="29" x14ac:dyDescent="0.35">
      <c r="A2" s="14" t="s">
        <v>259</v>
      </c>
      <c r="B2" s="12" t="s">
        <v>402</v>
      </c>
      <c r="C2" s="12" t="s">
        <v>385</v>
      </c>
      <c r="D2" s="12" t="s">
        <v>403</v>
      </c>
      <c r="E2" s="12" t="s">
        <v>384</v>
      </c>
      <c r="F2" s="12" t="s">
        <v>386</v>
      </c>
      <c r="G2" s="12" t="s">
        <v>387</v>
      </c>
      <c r="H2" s="12" t="s">
        <v>390</v>
      </c>
      <c r="I2" s="12" t="s">
        <v>388</v>
      </c>
      <c r="J2" s="10" t="s">
        <v>389</v>
      </c>
      <c r="K2" s="10" t="s">
        <v>391</v>
      </c>
      <c r="M2" s="14" t="s">
        <v>260</v>
      </c>
      <c r="N2" s="14" t="s">
        <v>261</v>
      </c>
      <c r="O2" s="14" t="s">
        <v>262</v>
      </c>
      <c r="Q2" s="14" t="s">
        <v>259</v>
      </c>
      <c r="R2" s="14" t="s">
        <v>261</v>
      </c>
      <c r="S2" s="14" t="s">
        <v>270</v>
      </c>
      <c r="T2" s="14" t="s">
        <v>262</v>
      </c>
      <c r="V2" s="14" t="s">
        <v>259</v>
      </c>
      <c r="W2" s="14" t="s">
        <v>261</v>
      </c>
      <c r="Y2" s="14" t="s">
        <v>259</v>
      </c>
      <c r="Z2" s="10" t="s">
        <v>261</v>
      </c>
      <c r="AA2" s="10" t="s">
        <v>270</v>
      </c>
      <c r="AB2" s="10" t="s">
        <v>823</v>
      </c>
      <c r="AC2" s="10" t="s">
        <v>262</v>
      </c>
      <c r="AE2" s="14" t="s">
        <v>259</v>
      </c>
      <c r="AF2" s="14" t="s">
        <v>261</v>
      </c>
      <c r="AG2" s="14" t="s">
        <v>262</v>
      </c>
      <c r="AH2" s="10"/>
      <c r="AI2" s="15" t="s">
        <v>259</v>
      </c>
      <c r="AJ2" s="15" t="s">
        <v>261</v>
      </c>
      <c r="AK2" s="15" t="s">
        <v>262</v>
      </c>
      <c r="AL2" s="15"/>
      <c r="AM2" s="15" t="s">
        <v>259</v>
      </c>
      <c r="AN2" s="15" t="s">
        <v>270</v>
      </c>
      <c r="AO2" s="15" t="s">
        <v>261</v>
      </c>
      <c r="AP2" s="15" t="s">
        <v>262</v>
      </c>
      <c r="AR2" s="15" t="s">
        <v>259</v>
      </c>
      <c r="AS2" s="15" t="s">
        <v>270</v>
      </c>
      <c r="AT2" s="15" t="s">
        <v>296</v>
      </c>
      <c r="AU2" s="15" t="s">
        <v>261</v>
      </c>
      <c r="AV2" s="15" t="s">
        <v>262</v>
      </c>
      <c r="AX2" s="14" t="s">
        <v>299</v>
      </c>
      <c r="AY2" s="14" t="s">
        <v>297</v>
      </c>
      <c r="AZ2" s="14" t="s">
        <v>298</v>
      </c>
      <c r="BA2" s="14" t="s">
        <v>301</v>
      </c>
      <c r="BB2" s="14" t="s">
        <v>302</v>
      </c>
      <c r="BD2" s="14" t="s">
        <v>307</v>
      </c>
      <c r="BE2" s="14" t="s">
        <v>308</v>
      </c>
      <c r="BF2" s="14" t="s">
        <v>309</v>
      </c>
      <c r="BG2" s="14" t="s">
        <v>310</v>
      </c>
      <c r="BH2" s="14" t="s">
        <v>311</v>
      </c>
      <c r="BK2" s="14" t="s">
        <v>259</v>
      </c>
      <c r="BL2" s="14" t="s">
        <v>296</v>
      </c>
      <c r="BM2" s="14" t="s">
        <v>262</v>
      </c>
      <c r="BO2" s="14" t="s">
        <v>259</v>
      </c>
      <c r="BP2" s="14" t="s">
        <v>270</v>
      </c>
      <c r="BQ2" s="17" t="s">
        <v>407</v>
      </c>
      <c r="BR2" s="17" t="s">
        <v>408</v>
      </c>
      <c r="BS2" s="14" t="s">
        <v>262</v>
      </c>
      <c r="BU2" s="14" t="s">
        <v>259</v>
      </c>
      <c r="BV2" s="14" t="s">
        <v>420</v>
      </c>
      <c r="BW2" s="14" t="s">
        <v>417</v>
      </c>
      <c r="BX2" s="14" t="s">
        <v>418</v>
      </c>
      <c r="BY2" s="10" t="s">
        <v>296</v>
      </c>
      <c r="BZ2" s="10" t="s">
        <v>262</v>
      </c>
      <c r="CA2" s="10" t="s">
        <v>411</v>
      </c>
      <c r="CB2" s="10" t="s">
        <v>419</v>
      </c>
      <c r="CC2" s="10" t="s">
        <v>421</v>
      </c>
      <c r="CD2" s="12" t="s">
        <v>412</v>
      </c>
      <c r="CE2" s="17" t="s">
        <v>413</v>
      </c>
      <c r="CF2" s="17" t="s">
        <v>414</v>
      </c>
      <c r="CG2" s="17" t="s">
        <v>377</v>
      </c>
      <c r="CH2" s="17"/>
      <c r="CJ2" s="14" t="s">
        <v>259</v>
      </c>
      <c r="CK2" s="14" t="s">
        <v>261</v>
      </c>
      <c r="CL2" s="14" t="s">
        <v>341</v>
      </c>
      <c r="CM2" s="14" t="s">
        <v>262</v>
      </c>
      <c r="CO2" s="14" t="s">
        <v>259</v>
      </c>
      <c r="CP2" s="14" t="s">
        <v>261</v>
      </c>
      <c r="CQ2" s="14" t="s">
        <v>348</v>
      </c>
      <c r="CR2" s="14" t="s">
        <v>296</v>
      </c>
      <c r="CS2" s="14" t="s">
        <v>334</v>
      </c>
      <c r="CT2" s="14" t="s">
        <v>335</v>
      </c>
      <c r="CU2" s="14" t="s">
        <v>262</v>
      </c>
      <c r="CW2" s="10" t="s">
        <v>339</v>
      </c>
      <c r="CX2" s="10" t="s">
        <v>338</v>
      </c>
      <c r="CY2" s="10" t="s">
        <v>336</v>
      </c>
      <c r="CZ2" s="10" t="s">
        <v>337</v>
      </c>
      <c r="DA2" s="10" t="s">
        <v>346</v>
      </c>
      <c r="DB2" s="10" t="s">
        <v>351</v>
      </c>
      <c r="DC2" s="10" t="s">
        <v>262</v>
      </c>
      <c r="DE2" s="10" t="s">
        <v>339</v>
      </c>
      <c r="DF2" s="10" t="s">
        <v>338</v>
      </c>
      <c r="DG2" s="10" t="s">
        <v>336</v>
      </c>
      <c r="DH2" s="12" t="s">
        <v>790</v>
      </c>
      <c r="DI2" s="12" t="s">
        <v>791</v>
      </c>
      <c r="DK2" s="12" t="s">
        <v>346</v>
      </c>
      <c r="DL2" s="12" t="s">
        <v>792</v>
      </c>
      <c r="DM2" s="12" t="s">
        <v>396</v>
      </c>
      <c r="DN2" s="12" t="s">
        <v>793</v>
      </c>
      <c r="DO2" s="12" t="s">
        <v>397</v>
      </c>
      <c r="DQ2" s="10" t="s">
        <v>339</v>
      </c>
      <c r="DR2" s="10" t="s">
        <v>299</v>
      </c>
      <c r="DS2" s="10" t="s">
        <v>346</v>
      </c>
      <c r="DT2" s="10" t="s">
        <v>351</v>
      </c>
      <c r="DU2" s="10" t="s">
        <v>262</v>
      </c>
      <c r="DW2" s="10" t="s">
        <v>346</v>
      </c>
      <c r="DY2" s="10" t="s">
        <v>259</v>
      </c>
      <c r="DZ2" s="10" t="s">
        <v>261</v>
      </c>
      <c r="EB2" s="10" t="s">
        <v>259</v>
      </c>
      <c r="EC2" s="10" t="s">
        <v>261</v>
      </c>
      <c r="ED2" s="10" t="s">
        <v>296</v>
      </c>
      <c r="EE2" s="10" t="s">
        <v>262</v>
      </c>
      <c r="EG2" s="10" t="s">
        <v>259</v>
      </c>
      <c r="EH2" s="14" t="s">
        <v>261</v>
      </c>
      <c r="EJ2" s="10" t="s">
        <v>259</v>
      </c>
      <c r="EK2" s="14" t="s">
        <v>261</v>
      </c>
      <c r="EM2" s="14" t="s">
        <v>259</v>
      </c>
      <c r="EN2" s="14" t="s">
        <v>365</v>
      </c>
      <c r="EO2" s="14" t="s">
        <v>261</v>
      </c>
      <c r="EP2" s="14" t="s">
        <v>368</v>
      </c>
      <c r="EQ2" s="14" t="s">
        <v>262</v>
      </c>
      <c r="ES2" s="14" t="s">
        <v>259</v>
      </c>
      <c r="ET2" s="14" t="s">
        <v>365</v>
      </c>
      <c r="EU2" s="14" t="s">
        <v>261</v>
      </c>
      <c r="EV2" s="14" t="s">
        <v>335</v>
      </c>
      <c r="EW2" s="14" t="s">
        <v>262</v>
      </c>
      <c r="EY2" s="10" t="s">
        <v>299</v>
      </c>
      <c r="EZ2" s="10" t="s">
        <v>365</v>
      </c>
      <c r="FA2" s="10" t="s">
        <v>404</v>
      </c>
      <c r="FB2" s="10" t="s">
        <v>405</v>
      </c>
      <c r="FC2" s="10" t="s">
        <v>415</v>
      </c>
      <c r="FD2" s="10" t="s">
        <v>416</v>
      </c>
      <c r="FE2" s="10" t="s">
        <v>259</v>
      </c>
      <c r="FF2" s="10" t="s">
        <v>369</v>
      </c>
      <c r="FG2" s="12" t="s">
        <v>380</v>
      </c>
      <c r="FH2" s="12" t="s">
        <v>399</v>
      </c>
      <c r="FI2" s="12" t="s">
        <v>396</v>
      </c>
      <c r="FJ2" s="12" t="s">
        <v>381</v>
      </c>
      <c r="FK2" s="12" t="s">
        <v>400</v>
      </c>
      <c r="FL2" s="12" t="s">
        <v>397</v>
      </c>
      <c r="FM2" s="12"/>
      <c r="FN2" t="s">
        <v>382</v>
      </c>
      <c r="FO2" t="s">
        <v>259</v>
      </c>
      <c r="FP2" s="12" t="s">
        <v>422</v>
      </c>
      <c r="FQ2" s="12" t="s">
        <v>396</v>
      </c>
      <c r="FR2" s="12" t="s">
        <v>398</v>
      </c>
      <c r="FS2" s="12" t="s">
        <v>397</v>
      </c>
      <c r="FT2" s="12" t="s">
        <v>335</v>
      </c>
      <c r="FU2" s="12" t="s">
        <v>423</v>
      </c>
      <c r="FW2" s="12" t="s">
        <v>424</v>
      </c>
      <c r="FX2" s="10" t="s">
        <v>261</v>
      </c>
      <c r="FY2" s="12" t="s">
        <v>430</v>
      </c>
      <c r="FZ2" s="12" t="s">
        <v>456</v>
      </c>
      <c r="GA2" s="12" t="s">
        <v>454</v>
      </c>
      <c r="GB2" s="12" t="s">
        <v>462</v>
      </c>
      <c r="GC2" s="14" t="s">
        <v>457</v>
      </c>
      <c r="GD2" s="12" t="s">
        <v>47</v>
      </c>
      <c r="GE2" s="12" t="s">
        <v>428</v>
      </c>
      <c r="GF2" s="12" t="s">
        <v>427</v>
      </c>
      <c r="GG2" s="12" t="s">
        <v>429</v>
      </c>
      <c r="GH2" s="12" t="s">
        <v>426</v>
      </c>
      <c r="GI2" s="12" t="s">
        <v>460</v>
      </c>
      <c r="GJ2" s="12" t="s">
        <v>455</v>
      </c>
      <c r="GK2" s="12" t="s">
        <v>461</v>
      </c>
      <c r="GL2" s="12" t="s">
        <v>463</v>
      </c>
      <c r="GM2" s="12" t="s">
        <v>464</v>
      </c>
      <c r="GN2" s="12" t="s">
        <v>465</v>
      </c>
      <c r="GO2" s="12" t="s">
        <v>477</v>
      </c>
      <c r="GP2" s="12" t="s">
        <v>478</v>
      </c>
      <c r="GQ2" s="12" t="s">
        <v>479</v>
      </c>
      <c r="GR2" s="12" t="s">
        <v>480</v>
      </c>
      <c r="GS2" s="12" t="s">
        <v>481</v>
      </c>
      <c r="GT2" s="12" t="s">
        <v>553</v>
      </c>
      <c r="GU2" s="12" t="s">
        <v>482</v>
      </c>
      <c r="GV2" s="14" t="s">
        <v>483</v>
      </c>
      <c r="GW2" s="12" t="s">
        <v>53</v>
      </c>
      <c r="GX2" s="12" t="s">
        <v>462</v>
      </c>
      <c r="GY2" s="12" t="s">
        <v>490</v>
      </c>
      <c r="GZ2" s="12" t="s">
        <v>491</v>
      </c>
      <c r="HA2" s="12" t="s">
        <v>492</v>
      </c>
      <c r="HB2" s="12" t="s">
        <v>54</v>
      </c>
      <c r="HC2" s="12" t="s">
        <v>495</v>
      </c>
      <c r="HD2" s="12" t="s">
        <v>494</v>
      </c>
      <c r="HF2" s="14" t="s">
        <v>497</v>
      </c>
      <c r="HG2" s="14" t="s">
        <v>70</v>
      </c>
      <c r="HH2" s="14" t="s">
        <v>509</v>
      </c>
      <c r="HI2" s="17" t="s">
        <v>508</v>
      </c>
      <c r="HJ2" s="14" t="s">
        <v>270</v>
      </c>
      <c r="HK2" s="14" t="s">
        <v>510</v>
      </c>
      <c r="HM2" s="17" t="s">
        <v>259</v>
      </c>
      <c r="HN2" s="17" t="s">
        <v>515</v>
      </c>
      <c r="HO2" s="17" t="s">
        <v>516</v>
      </c>
      <c r="HP2" s="17" t="s">
        <v>513</v>
      </c>
      <c r="HQ2" s="17" t="s">
        <v>514</v>
      </c>
      <c r="HS2" s="14" t="s">
        <v>259</v>
      </c>
      <c r="HT2" s="14" t="s">
        <v>518</v>
      </c>
      <c r="HU2" s="14" t="s">
        <v>519</v>
      </c>
      <c r="HW2" s="17" t="s">
        <v>520</v>
      </c>
      <c r="HX2" s="17" t="s">
        <v>527</v>
      </c>
      <c r="HY2" s="17" t="s">
        <v>528</v>
      </c>
      <c r="HZ2" s="17" t="s">
        <v>529</v>
      </c>
      <c r="IA2" s="17" t="s">
        <v>531</v>
      </c>
      <c r="IB2" s="17" t="s">
        <v>270</v>
      </c>
      <c r="IC2" s="17" t="s">
        <v>532</v>
      </c>
      <c r="ID2" s="10"/>
      <c r="IE2" s="10" t="s">
        <v>259</v>
      </c>
      <c r="IF2" s="10" t="s">
        <v>462</v>
      </c>
      <c r="IG2" s="10"/>
      <c r="IH2" s="10" t="s">
        <v>259</v>
      </c>
      <c r="II2" s="10" t="s">
        <v>261</v>
      </c>
      <c r="IJ2" s="10"/>
      <c r="IK2" s="10" t="s">
        <v>259</v>
      </c>
      <c r="IL2" s="10" t="s">
        <v>261</v>
      </c>
      <c r="IM2" s="10"/>
      <c r="IN2" s="10" t="s">
        <v>259</v>
      </c>
      <c r="IO2" s="10" t="s">
        <v>261</v>
      </c>
      <c r="IQ2" s="14" t="s">
        <v>259</v>
      </c>
      <c r="IR2" s="14" t="s">
        <v>261</v>
      </c>
      <c r="IT2" s="14" t="s">
        <v>259</v>
      </c>
      <c r="IU2" s="14" t="s">
        <v>261</v>
      </c>
      <c r="IW2" s="14" t="s">
        <v>259</v>
      </c>
      <c r="IY2" s="14" t="s">
        <v>259</v>
      </c>
      <c r="JA2" s="14" t="s">
        <v>259</v>
      </c>
      <c r="JC2" s="14" t="s">
        <v>818</v>
      </c>
      <c r="JD2" s="14" t="s">
        <v>820</v>
      </c>
      <c r="JE2" s="14" t="s">
        <v>462</v>
      </c>
      <c r="JF2" s="14" t="s">
        <v>389</v>
      </c>
    </row>
    <row r="3" spans="1:266" x14ac:dyDescent="0.35">
      <c r="A3" t="s">
        <v>73</v>
      </c>
      <c r="B3">
        <v>20</v>
      </c>
      <c r="C3">
        <v>20</v>
      </c>
      <c r="D3">
        <v>20</v>
      </c>
      <c r="E3">
        <v>20</v>
      </c>
      <c r="F3">
        <v>44</v>
      </c>
      <c r="G3">
        <v>44</v>
      </c>
      <c r="H3">
        <v>44</v>
      </c>
      <c r="I3">
        <v>44</v>
      </c>
      <c r="J3" t="s">
        <v>319</v>
      </c>
      <c r="K3">
        <v>2</v>
      </c>
      <c r="M3" t="str">
        <f ca="1">IFERROR(VLOOKUP(Wycena!$C$5,OFFSET(SKU!$B$1,MATCH(Wycena!$C$5,SKU!$B$1:$B$743,0)-1,0,1000,6),5,0),"")</f>
        <v/>
      </c>
      <c r="N3" s="8" t="str">
        <f ca="1">IFERROR(VLOOKUP(Wycena!$C$5,OFFSET(SKU!$B$1,MATCH(Wycena!$C$5,SKU!$B$1:$B$743,0)-1,0,1000,6),2,0)-VLOOKUP(Wycena!$C$5,SKU!$B$1:$C$743,2,0),"")</f>
        <v/>
      </c>
      <c r="O3" t="str" cm="1">
        <f t="array" aca="1" ref="O3" ca="1">IF(ROWS($M$3:M3)&gt;(ROWS($M$3:$M$10)-COUNTBLANK($M$3:$M$10)),"",INDEX($M$3:$M$10,SMALL(IF($M$3:$M$10&lt;&gt;"",ROW($M$3:$M$10)-2),ROWS($M$3:M3))))</f>
        <v/>
      </c>
      <c r="Q3" t="s">
        <v>292</v>
      </c>
      <c r="R3">
        <v>0</v>
      </c>
      <c r="S3" t="s">
        <v>292</v>
      </c>
      <c r="T3" t="e" cm="1">
        <f t="array" ref="T3">IF(ROWS($S$3:S3)&gt;(ROWS($S$3:$S$8)-COUNTBLANK($S$3:$S$8)),"",INDEX($S$3:$S$8,SMALL(IF($S$3:$S$8&lt;&gt;"",ROW($S$3:$S$8)-2),ROWS($S$3:S3))))</f>
        <v>#N/A</v>
      </c>
      <c r="V3" t="s">
        <v>289</v>
      </c>
      <c r="W3">
        <v>0</v>
      </c>
      <c r="Y3" t="s">
        <v>274</v>
      </c>
      <c r="Z3">
        <v>0</v>
      </c>
      <c r="AA3" t="str">
        <f>Y3</f>
        <v>Afromozja</v>
      </c>
      <c r="AB3" t="str">
        <f>IF((VLOOKUP(Wycena!$C$7,Mapping!$Q$15:$R$20,2,0))="tak","",AA3)</f>
        <v>Afromozja</v>
      </c>
      <c r="AC3" t="e" cm="1">
        <f t="array" ref="AC3">IF(ROWS($AB$3:AB3)&gt;(ROWS($AB$3:$AB$229)-COUNTBLANK($AB$3:$AB$229)),"",INDEX($AB$3:$AB$229,SMALL(IF($AB$3:$AB$229&lt;&gt;"",ROW($AB$3:$AB$229)-2),ROWS($AB$3:AB3))))</f>
        <v>#N/A</v>
      </c>
      <c r="AE3" t="e">
        <f>IF(VLOOKUP(Wycena!C5,SKU!$B$1:$H$743,7,0)&gt;0,"Tak","")</f>
        <v>#N/A</v>
      </c>
      <c r="AF3" t="e">
        <f>IF(AE3="Tak",VLOOKUP(Wycena!$C$5,SKU!$B$1:$H$743,7,0),0)</f>
        <v>#N/A</v>
      </c>
      <c r="AG3" t="e" cm="1">
        <f t="array" ref="AG3">IF(ROWS($AE$3:AE3)&gt;(ROWS($AE$3:$AE$4)-COUNTBLANK($AE$3:$AE$4)),"",INDEX($AE$3:$AE$4,SMALL(IF($AE$3:$AE$4&lt;&gt;"",ROW($AE$3:$AE$4)-2),ROWS($AE$3:AE3))))</f>
        <v>#N/A</v>
      </c>
      <c r="AI3" t="e">
        <f>IF(VLOOKUP(Wycena!$C$5,SKU!$B$1:$I$743,8,0)&gt;0,"Brąz rdzawy","-")</f>
        <v>#N/A</v>
      </c>
      <c r="AJ3" t="e">
        <f>VLOOKUP(Wycena!$C$5,SKU!$B$1:$I$743,8,0)</f>
        <v>#N/A</v>
      </c>
      <c r="AK3" t="e" cm="1">
        <f t="array" ref="AK3">IF(ROWS($AI$3:AI3)&gt;(ROWS($AI$3:$AI$7)-COUNTBLANK($AI$3:$AI$7)),"",INDEX($AI$3:$AI$7,SMALL(IF($AI$3:$AI$7&lt;&gt;"",ROW($AI$3:$AI$7)-2),ROWS($AI$3:AI3))))</f>
        <v>#N/A</v>
      </c>
      <c r="AM3" t="s">
        <v>18</v>
      </c>
      <c r="AN3" t="s">
        <v>18</v>
      </c>
      <c r="AO3">
        <v>0</v>
      </c>
      <c r="AP3" t="e" cm="1">
        <f t="array" ref="AP3">IF(ROWS($AN$3:AN3)&gt;(ROWS($AN$3:$AN$5)-COUNTBLANK($AN$3:$AN$5)),"",INDEX($AN$3:$AN$5,SMALL(IF($AN$3:$AN$5&lt;&gt;"",ROW($AN$3:$AN$5)-2),ROWS($AN$3:AN3))))</f>
        <v>#N/A</v>
      </c>
      <c r="AR3">
        <v>78</v>
      </c>
      <c r="AS3">
        <v>78</v>
      </c>
      <c r="AT3">
        <f>IF(Wycena!C14="Przylgowe",Mapping!AS3,"")</f>
        <v>78</v>
      </c>
      <c r="AU3">
        <v>0</v>
      </c>
      <c r="AV3" cm="1">
        <f t="array" ref="AV3">IF(ROWS($AT$3:AT3)&gt;(ROWS($AT$3:$AT$5)-COUNTBLANK($AT$3:$AT$5)),"",INDEX($AT$3:$AT$5,SMALL(IF($AT$3:$AT$5&lt;&gt;"",ROW($AT$3:$AT$5)-2),ROWS($AT$3:AT3))))</f>
        <v>78</v>
      </c>
      <c r="AX3">
        <v>72</v>
      </c>
      <c r="AY3">
        <v>0</v>
      </c>
      <c r="AZ3">
        <v>0</v>
      </c>
      <c r="BA3">
        <f>IF(Wycena!$C$16=78,Mapping!AY3,AZ3)</f>
        <v>0</v>
      </c>
      <c r="BB3">
        <v>0</v>
      </c>
      <c r="BC3" s="9" t="s">
        <v>305</v>
      </c>
      <c r="BD3">
        <v>180</v>
      </c>
      <c r="BE3">
        <v>0</v>
      </c>
      <c r="BF3">
        <v>0</v>
      </c>
      <c r="BG3">
        <f>IF(Wycena!$C$16=78,Mapping!BE3,BF3)</f>
        <v>0</v>
      </c>
      <c r="BH3">
        <v>0</v>
      </c>
      <c r="BI3" s="9" t="s">
        <v>305</v>
      </c>
      <c r="BK3" t="s">
        <v>23</v>
      </c>
      <c r="BL3" t="s">
        <v>23</v>
      </c>
      <c r="BM3" t="str" cm="1">
        <f t="array" ref="BM3">IF(ROWS($BL$3:BL3)&gt;(ROWS($BL$3:$BL$6)-COUNTBLANK($BL$3:$BL$6)),"",INDEX($BL$3:$BL$6,SMALL(IF($BL$3:$BL$6&lt;&gt;"",ROW($BL$3:$BL$6)-2),ROWS($BL$3:BL3))))</f>
        <v>Lewe na zewnątrz</v>
      </c>
      <c r="BO3" s="9" t="s">
        <v>15</v>
      </c>
      <c r="BP3" s="9" t="s">
        <v>15</v>
      </c>
      <c r="BQ3" s="9" t="s">
        <v>15</v>
      </c>
      <c r="BR3" s="9" t="s">
        <v>15</v>
      </c>
      <c r="BS3" t="e">
        <f t="array" ref="BS3">IF(ROWS($BR$3:BR3)&gt;(ROWS($BR$3:$BR$8)-COUNTBLANK($BR$3:$BR$8)),"",INDEX($BR$3:$BR$8,SMALL(IF($BR$3:$BR$8&lt;&gt;"",ROW($BR$3:$BR$8)-2),ROWS($BR$3:BR3))))</f>
        <v>#N/A</v>
      </c>
      <c r="BU3" s="9" t="s">
        <v>15</v>
      </c>
      <c r="BV3" s="9">
        <v>0</v>
      </c>
      <c r="BW3" s="9">
        <v>0</v>
      </c>
      <c r="BX3" s="9">
        <v>0</v>
      </c>
      <c r="BY3" s="9" t="s">
        <v>15</v>
      </c>
      <c r="BZ3" t="str">
        <f t="array" ref="BZ3">IF(ROWS($BY$3:BY3)&gt;(ROWS($BY$3:$BY$6)-COUNTBLANK($BY$3:$BY$6)),"",INDEX($BY$3:$BY$6,SMALL(IF($BY$3:$BY$6&lt;&gt;"",ROW($BY$3:$BY$6)-2),ROWS($BY$3:BY3))))</f>
        <v>-</v>
      </c>
      <c r="CA3" t="s">
        <v>97</v>
      </c>
      <c r="CB3">
        <v>0</v>
      </c>
      <c r="CC3" t="e">
        <f>CB3*(1+IFERROR(VLOOKUP(Wycena!$C$45,Mapping!$EZ$3:$FC$6,4,1),0)+IFERROR(VLOOKUP(Wycena!$C$49,Mapping!$EZ$3:$FC$6,4,1),0))*(1+VLOOKUP(Wycena!$C$54,Mapping!$BW$3:$BX$6,2,1))</f>
        <v>#N/A</v>
      </c>
      <c r="CD3" t="s">
        <v>97</v>
      </c>
      <c r="CE3" t="str">
        <f>IF(Wycena!$C$22="-","-",CD3)</f>
        <v>-</v>
      </c>
      <c r="CF3" t="str" cm="1">
        <f t="array" ref="CF3">IF(ROWS($CE$3:CE3)&gt;(ROWS($CE$3:$CE$13)-COUNTBLANK($CE$3:$CE$13)),"",INDEX($CE$3:$CE$13,SMALL(IF($CE$3:$CE$13&lt;&gt;"",ROW($CE$3:$CE$13)-2),ROWS($CE$3:CE3))))</f>
        <v>-</v>
      </c>
      <c r="CJ3" t="s">
        <v>27</v>
      </c>
      <c r="CK3">
        <v>0</v>
      </c>
      <c r="CL3" t="s">
        <v>27</v>
      </c>
      <c r="CM3" t="str">
        <f t="array" ref="CM3">IF(ROWS($CL$3:CL3)&gt;(ROWS($CL$3:$CL$4)-COUNTBLANK($CL$3:$CL$4)),"",INDEX($CL$3:$CL$4,SMALL(IF($CL$3:$CL$4&lt;&gt;"",ROW($CL$3:$CL$4)-2),ROWS($CL$3:CL3))))</f>
        <v>Standardowa</v>
      </c>
      <c r="CO3" s="9" t="s">
        <v>15</v>
      </c>
      <c r="CP3">
        <v>0</v>
      </c>
      <c r="CQ3" s="9" t="s">
        <v>15</v>
      </c>
      <c r="CR3" s="9" t="s">
        <v>15</v>
      </c>
      <c r="CS3" s="9" t="s">
        <v>15</v>
      </c>
      <c r="CT3" s="9" t="s">
        <v>15</v>
      </c>
      <c r="CU3" t="str" cm="1">
        <f t="array" ref="CU3">IF(ROWS($CT$3:CT3)&gt;(ROWS($CT$3:$CT$11)-COUNTBLANK($CT$3:$CT$11)),"",INDEX($CT$3:$CT$11,SMALL(IF($CT$3:$CT$11&lt;&gt;"",ROW($CT$3:$CT$11)-2),ROWS($CT$3:CT3))))</f>
        <v>-</v>
      </c>
      <c r="CW3" t="s">
        <v>343</v>
      </c>
      <c r="CX3">
        <v>6</v>
      </c>
      <c r="CY3" t="s">
        <v>18</v>
      </c>
      <c r="CZ3">
        <f>VLOOKUP(Wycena!$C$25,Mapping!$CW$3:$CX$4,2,0)</f>
        <v>6</v>
      </c>
      <c r="DA3">
        <v>6</v>
      </c>
      <c r="DB3">
        <f>IF(DA3&gt;=VLOOKUP(Wycena!$C$14,Mapping!$CY$3:$CZ$5,2,0),DA3,"")</f>
        <v>6</v>
      </c>
      <c r="DC3" cm="1">
        <f t="array" ref="DC3">IF(ROWS($DB$3:DB3)&gt;(ROWS($DB$3:$DB$28)-COUNTBLANK($DB$3:$DB$28)),"",INDEX($DB$3:$DB$28,SMALL(IF($DB$3:$DB$28&lt;&gt;"",ROW($DB$3:$DB$28)-2),ROWS($DB$3:DB3))))</f>
        <v>6</v>
      </c>
      <c r="DE3" t="s">
        <v>343</v>
      </c>
      <c r="DF3">
        <v>6</v>
      </c>
      <c r="DG3" t="s">
        <v>18</v>
      </c>
      <c r="DH3">
        <f>IF(OR(Wycena!$C$20="-",Wycena!$C$20="Imitacja skrzydła ruchoma"),(MAX((IFERROR(VLOOKUP(Wycena!C5,Mapping!$DG$21:$DH$23,2,0),0)),(VLOOKUP(Wycena!$C$25,Mapping!$CW$3:$CX$4,2,0)+VLOOKUP(Wycena!C26,$CO$16:$CS$25,IF(AND(Wycena!C20="-",Wycena!C21="-"),2,IF(AND(Wycena!C20&lt;&gt;"-",Wycena!C21="-"),3,IF(AND(Wycena!C20="-",Wycena!C21&lt;&gt;"-"),4,5))),0)))),(VLOOKUP(Wycena!$C$25,Mapping!$CW$3:$CX$4,2,0)+VLOOKUP(Wycena!C26,$CO$16:$CS$25,IF(AND(Wycena!C20="-",Wycena!C21="-"),2,IF(AND(Wycena!C20&lt;&gt;"-",Wycena!C21="-"),3,IF(AND(Wycena!C20="-",Wycena!C21&lt;&gt;"-"),4,5))),0)))</f>
        <v>6</v>
      </c>
      <c r="DI3">
        <f>IF(Wycena!$C$21="Imitacja skrzydła ruchoma",(MAX((IFERROR(VLOOKUP(Wycena!C5,Mapping!$DG$21:$DH$23,2,0),0)),(VLOOKUP(Wycena!$C$25,Mapping!$CW$3:$CX$4,2,0)+VLOOKUP(Wycena!C26,$CO$28:$CS$37,IF(AND(Wycena!C20="-",Wycena!C21="-"),2,IF(AND(Wycena!C20&lt;&gt;"-",Wycena!C21="-"),3,IF(AND(Wycena!C20="-",Wycena!C21&lt;&gt;"-"),4,5))),0)))),(VLOOKUP(Wycena!$C$25,Mapping!$CW$3:$CX$4,2,0)+VLOOKUP(Wycena!C26,$CO$28:$CS$37,IF(AND(Wycena!C20="-",Wycena!C21="-"),2,IF(AND(Wycena!C20&lt;&gt;"-",Wycena!C21="-"),3,IF(AND(Wycena!C20="-",Wycena!C21&lt;&gt;"-"),4,5))),0)))</f>
        <v>6</v>
      </c>
      <c r="DK3">
        <v>6</v>
      </c>
      <c r="DL3">
        <f>IF(DK3&gt;=VLOOKUP(Wycena!$C$14,Mapping!$DG$3:$DH$5,2,0),DK3,"")</f>
        <v>6</v>
      </c>
      <c r="DM3" cm="1">
        <f t="array" ref="DM3">IF(ROWS($DL$3:DL3)&gt;(ROWS($DL$3:$DL$28)-COUNTBLANK($DL$3:$DL$28)),"",INDEX($DL$3:$DL$28,SMALL(IF($DL$3:$DL$28&lt;&gt;"",ROW($DL$3:$DL$28)-2),ROWS($DL$3:DL3))))</f>
        <v>6</v>
      </c>
      <c r="DN3">
        <f>IF(DK3&gt;=VLOOKUP(Wycena!$C$14,Mapping!$DG$3:$DI$5,3,0),DK3,"")</f>
        <v>6</v>
      </c>
      <c r="DO3" cm="1">
        <f t="array" ref="DO3">IF(ROWS($DN$3:DN3)&gt;(ROWS($DN$3:$DN$28)-COUNTBLANK($DN$3:$DN$28)),"",INDEX($DN$3:$DN$28,SMALL(IF($DN$3:$DN$28&lt;&gt;"",ROW($DN$3:$DN$28)-2),ROWS($DN$3:DN3))))</f>
        <v>6</v>
      </c>
      <c r="DQ3" t="s">
        <v>343</v>
      </c>
      <c r="DR3">
        <v>10.5</v>
      </c>
      <c r="DS3">
        <v>6</v>
      </c>
      <c r="DT3" t="str">
        <f>IF(DS3&gt;=VLOOKUP(Wycena!$C$25,Mapping!$DQ$3:$DR$4,2,0),DS3,"")</f>
        <v/>
      </c>
      <c r="DU3" cm="1">
        <f t="array" ref="DU3">IF(ROWS($DT$3:DT3)&gt;(ROWS($DT$3:$DT$28)-COUNTBLANK($DT$3:$DT$28)),"",INDEX($DT$3:$DT$28,SMALL(IF($DT$3:$DT$28&lt;&gt;"",ROW($DT$3:$DT$28)-2),ROWS($DT$3:DT3))))</f>
        <v>10.5</v>
      </c>
      <c r="DW3" s="9" t="s">
        <v>15</v>
      </c>
      <c r="DY3" s="9" t="s">
        <v>15</v>
      </c>
      <c r="DZ3" s="9">
        <v>0</v>
      </c>
      <c r="EB3" s="9" t="s">
        <v>15</v>
      </c>
      <c r="EC3" s="9">
        <v>0</v>
      </c>
      <c r="ED3" s="9" t="s">
        <v>15</v>
      </c>
      <c r="EE3" t="str" cm="1">
        <f t="array" ref="EE3">IF(ROWS($ED$3:ED3)&gt;(ROWS($ED$3:$ED$4)-COUNTBLANK($ED$3:$ED$4)),"",INDEX($ED$3:$ED$4,SMALL(IF($ED$3:$ED$4&lt;&gt;"",ROW($ED$3:$ED$4)-2),ROWS($ED$3:ED3))))</f>
        <v>-</v>
      </c>
      <c r="EG3" s="9" t="s">
        <v>15</v>
      </c>
      <c r="EH3">
        <v>0</v>
      </c>
      <c r="EJ3" s="9" t="s">
        <v>15</v>
      </c>
      <c r="EK3">
        <v>0</v>
      </c>
      <c r="EM3">
        <v>80</v>
      </c>
      <c r="EN3">
        <v>60</v>
      </c>
      <c r="EO3">
        <v>0</v>
      </c>
      <c r="EP3">
        <f>IF(OR(Wycena!$C$20&lt;&gt;"-",Wycena!$C$21&lt;&gt;"-",),EM3,IF((Wycena!$C$17-Wycena!$C$28-Wycena!$C$29)&gt;118,"-",(Wycena!$C$17-Wycena!$C$28-Wycena!$C$29)))</f>
        <v>90</v>
      </c>
      <c r="EQ3" cm="1">
        <f t="array" ref="EQ3">IF(ROWS($EP$3:EP3)&gt;(ROWS($EP$3:$EP$8)-COUNTBLANK($EP$3:$EP$8)),"",INDEX($EP$3:$EP$8,SMALL(IF($EP$3:$EP$8&lt;&gt;"",ROW($EP$3:$EP$8)-2),ROWS($EP$3:EP3))))</f>
        <v>90</v>
      </c>
      <c r="ES3">
        <v>204</v>
      </c>
      <c r="ET3">
        <f>180-VLOOKUP(Wycena!$C$14,Mapping!$CY$3:$CZ$5,2,0)</f>
        <v>174</v>
      </c>
      <c r="EU3" s="11">
        <v>0</v>
      </c>
      <c r="EV3">
        <f>IF(AND(Wycena!$C$22&lt;&gt;"-",ES3&lt;=Wycena!$C$18-Wycena!$C$27),ES3,Wycena!$C$18-Wycena!$C$27)</f>
        <v>204</v>
      </c>
      <c r="EW3" cm="1">
        <f t="array" ref="EW3">IF(ROWS($EV$3:EV3)&gt;(ROWS($EV$3:$EV$8)-COUNTBLANK($EV$3:$EV$8)),"",INDEX($EV$3:$EV$8,SMALL(IF($EV$3:$EV$8&lt;&gt;"",ROW($EV$3:$EV$8)-2),ROWS($EV$3:EV3))))</f>
        <v>204</v>
      </c>
      <c r="EY3">
        <v>0</v>
      </c>
      <c r="EZ3">
        <v>0</v>
      </c>
      <c r="FA3" s="11">
        <f>50%+IF(Wycena!$C$20="Imitacja skrzydła ruchoma",0.1,0)</f>
        <v>0.5</v>
      </c>
      <c r="FB3" s="11">
        <f>50%+IF(Wycena!$C$21="Imitacja skrzydła ruchoma",0.1,0)</f>
        <v>0.5</v>
      </c>
      <c r="FC3" s="11">
        <v>0.5</v>
      </c>
      <c r="FD3" s="11">
        <f>IFERROR(VLOOKUP(Wycena!$C$45,Mapping!$EZ$3:$FC$6,4,1)+VLOOKUP(Wycena!$C$49,Mapping!$EZ$3:$FC$6,4,1),0)</f>
        <v>0</v>
      </c>
      <c r="FE3" t="s">
        <v>97</v>
      </c>
      <c r="FF3">
        <v>0</v>
      </c>
      <c r="FG3" t="s">
        <v>97</v>
      </c>
      <c r="FH3" t="str">
        <f>IF(Wycena!$C$20="-","-",FG3)</f>
        <v>-</v>
      </c>
      <c r="FI3" t="str">
        <f t="array" ref="FI3">IF(ROWS($FH$3:FH3)&gt;(ROWS($FH$3:$FH$14)-COUNTBLANK($FH$3:$FH$14)),"",INDEX($FH$3:$FH$14,SMALL(IF($FH$3:$FH$14&lt;&gt;"",ROW($FH$3:$FH$14)-2),ROWS($FH$3:FH3))))</f>
        <v>-</v>
      </c>
      <c r="FJ3" t="s">
        <v>97</v>
      </c>
      <c r="FK3" t="str">
        <f>IF(Wycena!$C$21="-","-",FJ3)</f>
        <v>-</v>
      </c>
      <c r="FL3" t="str">
        <f t="array" ref="FL3">IF(ROWS($FK$3:FK3)&gt;(ROWS($FK$3:$FK$14)-COUNTBLANK($FK$3:$FK$14)),"",INDEX($FK$3:$FK$14,SMALL(IF($FK$3:$FK$14&lt;&gt;"",ROW($FK$3:$FK$14)-2),ROWS($FK$3:FK3))))</f>
        <v>-</v>
      </c>
      <c r="FN3">
        <v>4</v>
      </c>
      <c r="FO3" s="9" t="s">
        <v>15</v>
      </c>
      <c r="FP3" s="9" t="s">
        <v>15</v>
      </c>
      <c r="FQ3" t="str" cm="1">
        <f t="array" ref="FQ3">IF(ROWS($FP$3:FP3)&gt;(ROWS($FP$3:$FP$23)-COUNTBLANK($FP$3:$FP$23)),"",INDEX($FP$3:$FP$23,SMALL(IF($FP$3:$FP$23&lt;&gt;"",ROW($FP$3:$FP$23)-2),ROWS($FP$3:FP3))))</f>
        <v>-</v>
      </c>
      <c r="FR3" s="9" t="s">
        <v>15</v>
      </c>
      <c r="FS3" t="str" cm="1">
        <f t="array" ref="FS3">IF(ROWS($FR$3:FR3)&gt;(ROWS($FR$3:$FR$23)-COUNTBLANK($FR$3:$FR$23)),"",INDEX($FR$3:$FR$23,SMALL(IF($FR$3:$FR$23&lt;&gt;"",ROW($FR$3:$FR$23)-2),ROWS($FR$3:FR3))))</f>
        <v>-</v>
      </c>
      <c r="FT3" s="9" t="s">
        <v>15</v>
      </c>
      <c r="FU3" t="str">
        <f t="array" ref="FU3">IF(ROWS($FT$3:FT3)&gt;(ROWS($FT$3:$FT$23)-COUNTBLANK($FT$3:$FT$23)),"",INDEX($FT$3:$FT$23,SMALL(IF($FT$3:$FT$23&lt;&gt;"",ROW($FT$3:$FT$23)-2),ROWS($FT$3:FT3))))</f>
        <v>-</v>
      </c>
      <c r="FW3" t="s">
        <v>47</v>
      </c>
      <c r="FX3" s="8">
        <v>0</v>
      </c>
      <c r="FY3" t="str">
        <f ca="1">IFERROR(VLOOKUP(Wycena!C59,OFFSET(FW15,MATCH(Wycena!C59,FW15:FW39,0)-1,0,15,2),2,0),"")</f>
        <v>Ryglowy 3-punktowy z gałką (standard)</v>
      </c>
      <c r="FZ3" t="str" cm="1">
        <f t="array" aca="1" ref="FZ3" ca="1">IF(ROWS($FY$3:FY3)&gt;(ROWS($FY$3:$FY$10)-COUNTBLANK($FY$3:$FY$10)),"",INDEX($FY$3:$FY$10,SMALL(IF($FY$3:$FY$10&lt;&gt;"",ROW($FY$3:$FY$10)-2),ROWS($FY$3:FY3))))</f>
        <v>Ryglowy 3-punktowy z gałką (standard)</v>
      </c>
      <c r="GA3" t="s">
        <v>433</v>
      </c>
      <c r="GB3">
        <v>0</v>
      </c>
      <c r="GC3" t="s">
        <v>433</v>
      </c>
      <c r="GD3" t="str">
        <f>GC3</f>
        <v>Klamka Medos Warszawa (standard)</v>
      </c>
      <c r="GJ3" t="str">
        <f>IF((HLOOKUP(VLOOKUP(Wycena!$C$59,Mapping!$GI$35:$GJ$43,2,0),$GD$1:$GI$33,2+GK3))=0,"",(HLOOKUP(VLOOKUP(Wycena!$C$59,Mapping!$GI$35:$GJ$43,2,0),$GD$1:$GI$33,2+GK3)))</f>
        <v>Klamka Medos Warszawa (standard)</v>
      </c>
      <c r="GK3">
        <v>1</v>
      </c>
      <c r="GL3" t="e">
        <f t="array" ref="GL3">IF(ROWS($GJ$3:GJ3)&gt;(ROWS($GJ$3:$GJ$33)-COUNTBLANK($GJ$3:$GJ$33)),"",INDEX($GJ$3:$GJ$33,SMALL(IF($GJ$3:$GJ$33&lt;&gt;"",ROW($GJ$3:$GJ$33)-2),ROWS($GJ$3:GJ3))))</f>
        <v>#N/A</v>
      </c>
      <c r="GM3" t="s">
        <v>433</v>
      </c>
      <c r="GN3" t="s">
        <v>466</v>
      </c>
      <c r="GO3" t="str">
        <f ca="1">IFERROR(VLOOKUP(Wycena!C61,OFFSET(GM2,MATCH(Wycena!C61,$GM$2:$GM$99,0)-1,0,100,2),2,0),"")</f>
        <v/>
      </c>
      <c r="GP3" t="str">
        <f t="array" aca="1" ref="GP3" ca="1">IF(ROWS($GO$3:GO3)&gt;(ROWS($GO$3:$GO$6)-COUNTBLANK($GO$3:$GO$6)),"",INDEX($GO$3:$GO$6,SMALL(IF($GO$3:$GO$6&lt;&gt;"",ROW($GO$3:$GO$6)-2),ROWS($GO$3:GO3))))</f>
        <v/>
      </c>
      <c r="GQ3" t="str">
        <f>IFERROR(IF(FIND("Antaba M",Wycena!$C$61)&gt;0,50,"-"),"-")</f>
        <v>-</v>
      </c>
      <c r="GR3" t="str">
        <f t="array" ref="GR3">IF(ROWS($GQ$3:GQ3)&gt;(ROWS($GQ$3:$GQ$9)-COUNTBLANK($GQ$3:$GQ$9)),"",INDEX($GQ$3:$GQ$9,SMALL(IF($GQ$3:$GQ$9&lt;&gt;"",ROW($GQ$3:$GQ$9)-2),ROWS($GQ$3:GQ3))))</f>
        <v>-</v>
      </c>
      <c r="GS3" t="s">
        <v>484</v>
      </c>
      <c r="GT3">
        <v>0</v>
      </c>
      <c r="GU3" t="str">
        <f>IF(OR(Wycena!$C$59=Mapping!$FW$7,Wycena!$C$59=Mapping!$FW$6),"",GS3)</f>
        <v>Standard satyna</v>
      </c>
      <c r="GV3" t="str">
        <f t="array" ref="GV3">IF(ROWS($GU$3:GU3)&gt;(ROWS($GU$3:$GU$8)-COUNTBLANK($GU$3:$GU$8)),"",INDEX($GU$3:$GU$8,SMALL(IF($GU$3:$GU$8&lt;&gt;"",ROW($GU$3:$GU$8)-2),ROWS($GU$3:GU3))))</f>
        <v>Standard satyna</v>
      </c>
      <c r="GW3" t="s">
        <v>15</v>
      </c>
      <c r="GY3" t="s">
        <v>15</v>
      </c>
      <c r="GZ3" t="s">
        <v>15</v>
      </c>
      <c r="HA3" t="str" cm="1">
        <f t="array" ref="HA3">IF(ROWS($GZ$3:GZ3)&gt;(ROWS($GZ$3:$GZ$5)-COUNTBLANK(GZ$3:$GZ$5)),"",INDEX(GZ$3:$GZ$5,SMALL(IF(GZ$3:$GZ$5&lt;&gt;"",ROW(GZ$3:$GZ$5)-2),ROWS($GZ$3:GZ3))))</f>
        <v>-</v>
      </c>
      <c r="HB3" t="str">
        <f>IF(Wycena!C59=Mapping!$HB$31,"","-")</f>
        <v>-</v>
      </c>
      <c r="HC3">
        <v>0</v>
      </c>
      <c r="HD3" t="str" cm="1">
        <f t="array" ref="HD3">IF(ROWS($HB$3:HB3)&gt;(ROWS($HJ$3:$HJ$4)-COUNTBLANK($HB$3:$HB$4)),"",INDEX($HB$3:$HB$4,SMALL(IF($HB$3:$HB$4&lt;&gt;"",ROW($HB$3:$HB$4)-2),ROWS($HB$3:HB3))))</f>
        <v>-</v>
      </c>
      <c r="HJ3" t="str">
        <f>IF(Wycena!$C$59=Mapping!$HB$31,"","-")</f>
        <v>-</v>
      </c>
      <c r="HK3" t="str" cm="1">
        <f t="array" ref="HK3">IF(ROWS($HJ$3:HJ3)&gt;(ROWS($HJ$3:$HJ$13)-COUNTBLANK($HJ$3:$HJ$13)),"",INDEX($HJ$3:$HJ$13,SMALL(IF($HJ$3:$HJ$13&lt;&gt;"",ROW($HJ$3:$HJ$13)-2),ROWS($HJ$3:HJ3))))</f>
        <v>-</v>
      </c>
      <c r="HM3" t="s">
        <v>57</v>
      </c>
      <c r="HN3">
        <v>0</v>
      </c>
      <c r="HO3">
        <v>0</v>
      </c>
      <c r="HP3" t="s">
        <v>57</v>
      </c>
      <c r="HQ3" t="str">
        <f t="array" ref="HQ3">IF(ROWS($HP$3:HP3)&gt;(ROWS($HP$3:$HP$5)-COUNTBLANK($HP$3:$HP$5)),"",INDEX($HP$3:$HP$5,SMALL(IF($HP$3:$HP$5&lt;&gt;"",ROW($HP$3:$HP$5)-2),ROWS($HP$3:HP3))))</f>
        <v>Aluminiowy (standard)</v>
      </c>
      <c r="HS3" t="s">
        <v>15</v>
      </c>
      <c r="HT3">
        <v>0</v>
      </c>
      <c r="HU3">
        <v>0</v>
      </c>
      <c r="HW3" t="s">
        <v>15</v>
      </c>
      <c r="HX3">
        <v>0</v>
      </c>
      <c r="HY3">
        <v>0</v>
      </c>
      <c r="HZ3">
        <v>0</v>
      </c>
      <c r="IA3">
        <v>0</v>
      </c>
      <c r="IB3" s="9" t="s">
        <v>15</v>
      </c>
      <c r="IC3" t="str">
        <f t="array" ref="IC3">IF(ROWS($IB$3:IB3)&gt;(ROWS($IB$3:$IB$9)-COUNTBLANK($IB$3:$IB$9)),"",INDEX($IB$3:$IB$9,SMALL(IF($IB$3:$IB$9&lt;&gt;"",ROW($IB$3:$IB$9)-2),ROWS($IB$3:IB3))))</f>
        <v>-</v>
      </c>
      <c r="IE3" t="s">
        <v>15</v>
      </c>
      <c r="IF3">
        <v>0</v>
      </c>
      <c r="IH3" t="s">
        <v>15</v>
      </c>
      <c r="II3" s="8">
        <v>0</v>
      </c>
      <c r="IK3" t="s">
        <v>15</v>
      </c>
      <c r="IL3">
        <v>0</v>
      </c>
      <c r="IN3" t="s">
        <v>15</v>
      </c>
      <c r="IO3">
        <v>0</v>
      </c>
      <c r="IQ3" t="s">
        <v>15</v>
      </c>
      <c r="IR3">
        <v>0</v>
      </c>
      <c r="IT3" t="s">
        <v>15</v>
      </c>
      <c r="IU3">
        <v>0</v>
      </c>
      <c r="IW3" s="11">
        <v>0</v>
      </c>
      <c r="IY3" s="8">
        <v>100</v>
      </c>
      <c r="JA3" s="11">
        <v>0</v>
      </c>
      <c r="JC3" t="s">
        <v>466</v>
      </c>
      <c r="JD3" t="s">
        <v>466</v>
      </c>
      <c r="JE3">
        <v>0</v>
      </c>
      <c r="JF3" t="str" cm="1">
        <f t="array" ref="JF3">IF(ROWS($JD$3:JD3)&gt;(ROWS($JD$3:$JD$4)-COUNTBLANK($JD$3:$JD$4)),"",INDEX($JD$3:$JD$4,SMALL(IF($JD$3:$JD$4&lt;&gt;"",ROW($JD$3:$JD$4)-2),ROWS($JD$3:JD3))))</f>
        <v>Inox</v>
      </c>
    </row>
    <row r="4" spans="1:266" x14ac:dyDescent="0.35">
      <c r="A4" t="s">
        <v>79</v>
      </c>
      <c r="B4">
        <v>20</v>
      </c>
      <c r="C4">
        <v>20</v>
      </c>
      <c r="D4">
        <v>20</v>
      </c>
      <c r="E4">
        <v>20</v>
      </c>
      <c r="F4">
        <v>34</v>
      </c>
      <c r="G4">
        <v>34</v>
      </c>
      <c r="H4">
        <f t="shared" ref="H4:H13" si="0">F4+2</f>
        <v>36</v>
      </c>
      <c r="I4">
        <f t="shared" ref="I4:I13" si="1">G4+2</f>
        <v>36</v>
      </c>
      <c r="J4" t="s">
        <v>320</v>
      </c>
      <c r="K4">
        <v>4</v>
      </c>
      <c r="M4" t="str">
        <f ca="1">IFERROR(VLOOKUP(Wycena!$C$5,OFFSET(SKU!$B$1,MATCH(Wycena!$C$5,SKU!$B$1:$B$743,0),0,1000,6),5,0),"")</f>
        <v/>
      </c>
      <c r="N4" s="8" t="str">
        <f ca="1">IFERROR(VLOOKUP(Wycena!$C$5,OFFSET(SKU!$B$1,MATCH(Wycena!$C$5,SKU!$B$1:$B$743,0),0,1000,6),2,0)-VLOOKUP(Wycena!$C$5,SKU!$B$1:$C$743,2,0),"")</f>
        <v/>
      </c>
      <c r="O4" t="str" cm="1">
        <f t="array" aca="1" ref="O4" ca="1">IF(ROWS($M$3:M4)&gt;(ROWS($M$3:$M$10)-COUNTBLANK($M$3:$M$10)),"",INDEX($M$3:$M$10,SMALL(IF($M$3:$M$10&lt;&gt;"",ROW($M$3:$M$10)-2),ROWS($M$3:M4))))</f>
        <v/>
      </c>
      <c r="Q4" t="s">
        <v>264</v>
      </c>
      <c r="R4">
        <v>0</v>
      </c>
      <c r="S4" t="e">
        <f>IF(VLOOKUP(Wycena!$C$5,SKU!$B$1:$D$743,3,0)="Płytowe",Q4,"")</f>
        <v>#N/A</v>
      </c>
      <c r="T4" t="e" cm="1">
        <f t="array" ref="T4">IF(ROWS($S$3:S4)&gt;(ROWS($S$3:$S$8)-COUNTBLANK($S$3:$S$8)),"",INDEX($S$3:$S$8,SMALL(IF($S$3:$S$8&lt;&gt;"",ROW($S$3:$S$8)-2),ROWS($S$3:S4))))</f>
        <v>#N/A</v>
      </c>
      <c r="V4" t="s">
        <v>271</v>
      </c>
      <c r="W4">
        <v>0</v>
      </c>
      <c r="Y4" t="s">
        <v>275</v>
      </c>
      <c r="Z4">
        <v>0</v>
      </c>
      <c r="AA4" t="str">
        <f t="shared" ref="AA4:AA10" si="2">Y4</f>
        <v>Brunat</v>
      </c>
      <c r="AB4" t="str">
        <f>IF((VLOOKUP(Wycena!$C$7,Mapping!$Q$15:$R$20,2,0))="tak","",AA4)</f>
        <v>Brunat</v>
      </c>
      <c r="AC4" t="e" cm="1">
        <f t="array" ref="AC4">IF(ROWS($AB$3:AB4)&gt;(ROWS($AB$3:$AB$229)-COUNTBLANK($AB$3:$AB$229)),"",INDEX($AB$3:$AB$229,SMALL(IF($AB$3:$AB$229&lt;&gt;"",ROW($AB$3:$AB$229)-2),ROWS($AB$3:AB4))))</f>
        <v>#N/A</v>
      </c>
      <c r="AE4" s="9" t="s">
        <v>15</v>
      </c>
      <c r="AF4" s="9"/>
      <c r="AG4" t="e" cm="1">
        <f t="array" ref="AG4">IF(ROWS($AE$3:AE4)&gt;(ROWS($AE$3:$AE$4)-COUNTBLANK($AE$3:$AE$4)),"",INDEX($AE$3:$AE$4,SMALL(IF($AE$3:$AE$4&lt;&gt;"",ROW($AE$3:$AE$4)-2),ROWS($AE$3:AE4))))</f>
        <v>#N/A</v>
      </c>
      <c r="AI4" t="e">
        <f>IF(VLOOKUP(Wycena!$C$5,SKU!$B$1:$I$743,8,0)&gt;0,"Szary piasek","")</f>
        <v>#N/A</v>
      </c>
      <c r="AJ4" t="e">
        <f>VLOOKUP(Wycena!$C$5,SKU!$B$1:$I$743,8,0)</f>
        <v>#N/A</v>
      </c>
      <c r="AK4" t="e" cm="1">
        <f t="array" ref="AK4">IF(ROWS($AI$3:AI4)&gt;(ROWS($AI$3:$AI$7)-COUNTBLANK($AI$3:$AI$7)),"",INDEX($AI$3:$AI$7,SMALL(IF($AI$3:$AI$7&lt;&gt;"",ROW($AI$3:$AI$7)-2),ROWS($AI$3:AI4))))</f>
        <v>#N/A</v>
      </c>
      <c r="AM4" t="s">
        <v>293</v>
      </c>
      <c r="AN4" t="e">
        <f>IF(VLOOKUP(Wycena!$C$5,SKU!$B$1:$D$743,3,0)="Płytowe",AM4,"")</f>
        <v>#N/A</v>
      </c>
      <c r="AO4">
        <f>IFERROR(IF(Wycena!C42*1&gt;214,2800,2400),2400)*(IF(Wycena!C20="Imitacja skrzydła ruchoma",1,0)+IF(Wycena!C21="Imitacja skrzydła ruchoma",1,0)+1)</f>
        <v>2400</v>
      </c>
      <c r="AP4" t="e" cm="1">
        <f t="array" ref="AP4">IF(ROWS($AN$3:AN4)&gt;(ROWS($AN$3:$AN$5)-COUNTBLANK($AN$3:$AN$5)),"",INDEX($AN$3:$AN$5,SMALL(IF($AN$3:$AN$5&lt;&gt;"",ROW($AN$3:$AN$5)-2),ROWS($AN$3:AN4))))</f>
        <v>#N/A</v>
      </c>
      <c r="AR4">
        <v>90</v>
      </c>
      <c r="AS4" t="e">
        <f>IF(VLOOKUP(Wycena!$C$5,SKU!$B$1:$D$743,3,0)="Płytowe",AR4,"")</f>
        <v>#N/A</v>
      </c>
      <c r="AT4" t="str">
        <f>IF(OR((Wycena!C14="Bezprzylgowe"),(Wycena!C14="Bezprzylgowe Glass")),Mapping!AS4,"")</f>
        <v/>
      </c>
      <c r="AU4">
        <v>0</v>
      </c>
      <c r="AV4" t="str" cm="1">
        <f t="array" ref="AV4">IF(ROWS($AT$3:AT4)&gt;(ROWS($AT$3:$AT$5)-COUNTBLANK($AT$3:$AT$5)),"",INDEX($AT$3:$AT$5,SMALL(IF($AT$3:$AT$5&lt;&gt;"",ROW($AT$3:$AT$5)-2),ROWS($AT$3:AT4))))</f>
        <v/>
      </c>
      <c r="AX4">
        <v>73</v>
      </c>
      <c r="AY4">
        <v>0</v>
      </c>
      <c r="AZ4">
        <v>0</v>
      </c>
      <c r="BA4">
        <f>IF(Wycena!$C$16=78,Mapping!AY4,AZ4)</f>
        <v>0</v>
      </c>
      <c r="BB4">
        <v>1</v>
      </c>
      <c r="BC4" t="s">
        <v>303</v>
      </c>
      <c r="BD4">
        <v>181</v>
      </c>
      <c r="BE4">
        <v>0</v>
      </c>
      <c r="BF4">
        <v>0</v>
      </c>
      <c r="BG4">
        <f>IF(Wycena!$C$16=78,Mapping!BE4,BF4)</f>
        <v>0</v>
      </c>
      <c r="BH4">
        <v>1</v>
      </c>
      <c r="BI4" t="s">
        <v>312</v>
      </c>
      <c r="BK4" t="s">
        <v>314</v>
      </c>
      <c r="BL4" t="str">
        <f>IF(Wycena!$C$14="Bezprzylgowe Glass","",BK4)</f>
        <v>Lewe do wewnątrz</v>
      </c>
      <c r="BM4" t="str" cm="1">
        <f t="array" ref="BM4">IF(ROWS($BL$3:BL4)&gt;(ROWS($BL$3:$BL$6)-COUNTBLANK($BL$3:$BL$6)),"",INDEX($BL$3:$BL$6,SMALL(IF($BL$3:$BL$6&lt;&gt;"",ROW($BL$3:$BL$6)-2),ROWS($BL$3:BL4))))</f>
        <v>Lewe do wewnątrz</v>
      </c>
      <c r="BO4" t="s">
        <v>319</v>
      </c>
      <c r="BP4" t="s">
        <v>319</v>
      </c>
      <c r="BQ4" t="str">
        <f>BP4</f>
        <v>W ościeżnicy nowoczesna</v>
      </c>
      <c r="BR4" t="str">
        <f>IF(Wycena!$C$14="Bezprzylgowe Glass","",BQ4)</f>
        <v>W ościeżnicy nowoczesna</v>
      </c>
      <c r="BS4" t="e">
        <f t="array" ref="BS4">IF(ROWS($BR$3:BR4)&gt;(ROWS($BR$3:$BR$8)-COUNTBLANK($BR$3:$BR$8)),"",INDEX($BR$3:$BR$8,SMALL(IF($BR$3:$BR$8&lt;&gt;"",ROW($BR$3:$BR$8)-2),ROWS($BR$3:BR4))))</f>
        <v>#N/A</v>
      </c>
      <c r="BU4" t="s">
        <v>321</v>
      </c>
      <c r="BV4" s="8" t="e">
        <f>((1200+IF(Wycena!$F$9&lt;&gt;0,200,0))*(1+IFERROR(VLOOKUP(Wycena!$C$45,Mapping!$EZ$3:$FC$6,4,1),0)+IFERROR(VLOOKUP(Wycena!$C$49,Mapping!$EZ$3:$FC$6,4,1),0))*(1+VLOOKUP(Wycena!$C$54,Mapping!$BW$3:$BX$6,2,1)))</f>
        <v>#N/A</v>
      </c>
      <c r="BW4">
        <v>50.000100000000003</v>
      </c>
      <c r="BX4" s="11">
        <v>0.2</v>
      </c>
      <c r="BY4" t="str">
        <f>IF(Wycena!$C$14="Bezprzylgowe Glass","",BU4)</f>
        <v>W ościeżnicy</v>
      </c>
      <c r="BZ4" t="str">
        <f t="array" ref="BZ4">IF(ROWS($BY$3:BY4)&gt;(ROWS($BY$3:$BY$6)-COUNTBLANK($BY$3:$BY$6)),"",INDEX($BY$3:$BY$6,SMALL(IF($BY$3:$BY$6&lt;&gt;"",ROW($BY$3:$BY$6)-2),ROWS($BY$3:BY4))))</f>
        <v>W ościeżnicy</v>
      </c>
      <c r="CA4" t="s">
        <v>76</v>
      </c>
      <c r="CB4">
        <v>0</v>
      </c>
      <c r="CC4" t="e">
        <f>CB4*(1+IFERROR(VLOOKUP(Wycena!$C$45,Mapping!$EZ$3:$FC$6,4,1),0)+IFERROR(VLOOKUP(Wycena!$C$49,Mapping!$EZ$3:$FC$6,4,1),0))*(1+VLOOKUP(Wycena!$C$54,Mapping!$BW$3:$BX$6,2,1))</f>
        <v>#N/A</v>
      </c>
      <c r="CD4" t="s">
        <v>827</v>
      </c>
      <c r="CE4" t="str">
        <f>IF(Wycena!$C$22="-","",CD4)</f>
        <v/>
      </c>
      <c r="CF4" t="str" cm="1">
        <f t="array" ref="CF4">IF(ROWS($CE$3:CE4)&gt;(ROWS($CE$3:$CE$13)-COUNTBLANK($CE$3:$CE$13)),"",INDEX($CE$3:$CE$13,SMALL(IF($CE$3:$CE$13&lt;&gt;"",ROW($CE$3:$CE$13)-2),ROWS($CE$3:CE4))))</f>
        <v/>
      </c>
      <c r="CJ4" t="s">
        <v>324</v>
      </c>
      <c r="CK4">
        <v>300</v>
      </c>
      <c r="CL4" t="str">
        <f>IF(Wycena!$C$14="Przylgowe",CJ4,"")</f>
        <v>Krosnowa</v>
      </c>
      <c r="CM4" t="str">
        <f t="array" ref="CM4">IF(ROWS($CL$3:CL4)&gt;(ROWS($CL$3:$CL$4)-COUNTBLANK($CL$3:$CL$4)),"",INDEX($CL$3:$CL$4,SMALL(IF($CL$3:$CL$4&lt;&gt;"",ROW($CL$3:$CL$4)-2),ROWS($CL$3:CL4))))</f>
        <v>Krosnowa</v>
      </c>
      <c r="CO4" t="s">
        <v>326</v>
      </c>
      <c r="CP4">
        <v>1200</v>
      </c>
      <c r="CQ4" t="str">
        <f>IF(Wycena!$C$25="Krosnowa","",CO4)</f>
        <v>Przy skrzydle od zewnątrz</v>
      </c>
      <c r="CR4" t="str">
        <f>IF(Wycena!$C$14="Bezprzylgowe Glass","",CQ4)</f>
        <v>Przy skrzydle od zewnątrz</v>
      </c>
      <c r="CS4" t="str">
        <f>CR4</f>
        <v>Przy skrzydle od zewnątrz</v>
      </c>
      <c r="CT4" t="str">
        <f>CS4</f>
        <v>Przy skrzydle od zewnątrz</v>
      </c>
      <c r="CU4" t="str" cm="1">
        <f t="array" ref="CU4">IF(ROWS($CT$3:CT4)&gt;(ROWS($CT$3:$CT$11)-COUNTBLANK($CT$3:$CT$11)),"",INDEX($CT$3:$CT$11,SMALL(IF($CT$3:$CT$11&lt;&gt;"",ROW($CT$3:$CT$11)-2),ROWS($CT$3:CT4))))</f>
        <v>Przy skrzydle od zewnątrz</v>
      </c>
      <c r="CW4" t="s">
        <v>340</v>
      </c>
      <c r="CX4">
        <v>10.5</v>
      </c>
      <c r="CY4" t="s">
        <v>293</v>
      </c>
      <c r="CZ4">
        <v>8</v>
      </c>
      <c r="DA4">
        <v>7</v>
      </c>
      <c r="DB4">
        <f>IF(DA4&gt;=VLOOKUP(Wycena!$C$14,Mapping!$CY$3:$CZ$5,2,0),DA4,"")</f>
        <v>7</v>
      </c>
      <c r="DC4" cm="1">
        <f t="array" ref="DC4">IF(ROWS($DB$3:DB4)&gt;(ROWS($DB$3:$DB$28)-COUNTBLANK($DB$3:$DB$28)),"",INDEX($DB$3:$DB$28,SMALL(IF($DB$3:$DB$28&lt;&gt;"",ROW($DB$3:$DB$28)-2),ROWS($DB$3:DB4))))</f>
        <v>7</v>
      </c>
      <c r="DE4" t="s">
        <v>340</v>
      </c>
      <c r="DF4">
        <v>10.5</v>
      </c>
      <c r="DG4" t="s">
        <v>293</v>
      </c>
      <c r="DH4">
        <f>IF(OR(Wycena!$C$20="-",Wycena!$C$20="Imitacja skrzydła ruchoma"),(MAX((IFERROR(VLOOKUP(Wycena!C5,Mapping!$DG$21:$DH$23,2,0),0)),(8+VLOOKUP(Wycena!C26,$CO$16:$CS$25,IF(AND(Wycena!C20="-",Wycena!C21="-"),2,IF(AND(Wycena!C20&lt;&gt;"-",Wycena!C21="-"),3,IF(AND(Wycena!C20="-",Wycena!C21&lt;&gt;"-"),4,5))),0)))),(8+VLOOKUP(Wycena!C26,$CO$16:$CS$25,IF(AND(Wycena!C20="-",Wycena!C21="-"),2,IF(AND(Wycena!C20&lt;&gt;"-",Wycena!C21="-"),3,IF(AND(Wycena!C20="-",Wycena!C21&lt;&gt;"-"),4,5))),0)))</f>
        <v>8</v>
      </c>
      <c r="DI4">
        <f>IF(Wycena!$C$21="Imitacja skrzydła ruchoma",(MAX((IFERROR(VLOOKUP(Wycena!C5,Mapping!$DG$21:$DH$23,2,0),0)),(8+VLOOKUP(Wycena!C26,$CO$28:$CS$37,IF(AND(Wycena!C20="-",Wycena!C21="-"),2,IF(AND(Wycena!C20&lt;&gt;"-",Wycena!C21="-"),3,IF(AND(Wycena!C20="-",Wycena!C21&lt;&gt;"-"),4,5))),0)))),(8+VLOOKUP(Wycena!C26,$CO$28:$CS$37,IF(AND(Wycena!C20="-",Wycena!C21="-"),2,IF(AND(Wycena!C20&lt;&gt;"-",Wycena!C21="-"),3,IF(AND(Wycena!C20="-",Wycena!C21&lt;&gt;"-"),4,5))),0)))</f>
        <v>8</v>
      </c>
      <c r="DK4">
        <v>7</v>
      </c>
      <c r="DL4">
        <f>IF(DK4&gt;=VLOOKUP(Wycena!$C$14,Mapping!$DG$3:$DH$5,2,0),DK4,"")</f>
        <v>7</v>
      </c>
      <c r="DM4" cm="1">
        <f t="array" ref="DM4">IF(ROWS($DL$3:DL4)&gt;(ROWS($DL$3:$DL$28)-COUNTBLANK($DL$3:$DL$28)),"",INDEX($DL$3:$DL$28,SMALL(IF($DL$3:$DL$28&lt;&gt;"",ROW($DL$3:$DL$28)-2),ROWS($DL$3:DL4))))</f>
        <v>7</v>
      </c>
      <c r="DN4">
        <f>IF(DK4&gt;=VLOOKUP(Wycena!$C$14,Mapping!$DG$3:$DI$5,3,0),DK4,"")</f>
        <v>7</v>
      </c>
      <c r="DO4" cm="1">
        <f t="array" ref="DO4">IF(ROWS($DN$3:DN4)&gt;(ROWS($DN$3:$DN$28)-COUNTBLANK($DN$3:$DN$28)),"",INDEX($DN$3:$DN$28,SMALL(IF($DN$3:$DN$28&lt;&gt;"",ROW($DN$3:$DN$28)-2),ROWS($DN$3:DN4))))</f>
        <v>7</v>
      </c>
      <c r="DQ4" t="s">
        <v>340</v>
      </c>
      <c r="DR4">
        <v>6</v>
      </c>
      <c r="DS4">
        <v>7</v>
      </c>
      <c r="DT4" t="str">
        <f>IF(DS4&gt;=VLOOKUP(Wycena!$C$25,Mapping!$DQ$3:$DR$4,2,0),DS4,"")</f>
        <v/>
      </c>
      <c r="DU4" cm="1">
        <f t="array" ref="DU4">IF(ROWS($DT$3:DT4)&gt;(ROWS($DT$3:$DT$28)-COUNTBLANK($DT$3:$DT$28)),"",INDEX($DT$3:$DT$28,SMALL(IF($DT$3:$DT$28&lt;&gt;"",ROW($DT$3:$DT$28)-2),ROWS($DT$3:DT4))))</f>
        <v>11</v>
      </c>
      <c r="DW4">
        <v>1</v>
      </c>
      <c r="DY4" t="s">
        <v>357</v>
      </c>
      <c r="DZ4">
        <f>340+(IF(Wycena!C20&lt;&gt;"-",1,0)+IF(Wycena!C21&lt;&gt;"-",1,0))*DZ8+IF((IF(Wycena!C16="-",212,IF(Wycena!C16=78, 212,214)))&lt;Wycena!$C$18,1,0)*DZ9</f>
        <v>340</v>
      </c>
      <c r="EB4" t="s">
        <v>357</v>
      </c>
      <c r="EC4">
        <f>380+(IF(Wycena!C20&lt;&gt;"-",1,0)+IF(Wycena!C21&lt;&gt;"-",1,0))*EC8+IF((IF(Wycena!C16="-",212,IF(Wycena!C16=78, 212,214)))&lt;Wycena!$C$18,1,0)*EC9</f>
        <v>380</v>
      </c>
      <c r="ED4" t="str">
        <f>IF(Wycena!C14="Bezprzylgowe Glass","",EB4)</f>
        <v>Tak</v>
      </c>
      <c r="EE4" t="str" cm="1">
        <f t="array" ref="EE4">IF(ROWS($ED$3:ED4)&gt;(ROWS($ED$3:$ED$4)-COUNTBLANK($ED$3:$ED$4)),"",INDEX($ED$3:$ED$4,SMALL(IF($ED$3:$ED$4&lt;&gt;"",ROW($ED$3:$ED$4)-2),ROWS($ED$3:ED4))))</f>
        <v>Tak</v>
      </c>
      <c r="EG4" t="s">
        <v>772</v>
      </c>
      <c r="EH4">
        <f>300+(IF(Wycena!C20&lt;&gt;"-",1,0)+IF(Wycena!C21&lt;&gt;"-",1,0))*EH8+IF((IF(Wycena!C16="-",212,IF(Wycena!C16=78, 212,214)))&lt;Wycena!$C$18,1,0)*EH9</f>
        <v>300</v>
      </c>
      <c r="EJ4" t="s">
        <v>772</v>
      </c>
      <c r="EK4">
        <f>140+(IF(Wycena!C20&lt;&gt;"-",1,0)+IF(Wycena!C21&lt;&gt;"-",1,0))*EK8+IF((IF(Wycena!C16="-",212,IF(Wycena!C16=78, 212,214)))&lt;Wycena!$C$18,1,0)*EK9</f>
        <v>140</v>
      </c>
      <c r="EM4">
        <v>85</v>
      </c>
      <c r="EP4" t="str">
        <f>IF(OR(Wycena!$C$20&lt;&gt;"-",Wycena!$C$21&lt;&gt;"-",),EM4,"")</f>
        <v/>
      </c>
      <c r="EQ4" t="str" cm="1">
        <f t="array" ref="EQ4">IF(ROWS($EP$3:EP4)&gt;(ROWS($EP$3:$EP$8)-COUNTBLANK($EP$3:$EP$8)),"",INDEX($EP$3:$EP$8,SMALL(IF($EP$3:$EP$8&lt;&gt;"",ROW($EP$3:$EP$8)-2),ROWS($EP$3:EP4))))</f>
        <v/>
      </c>
      <c r="ES4">
        <v>206</v>
      </c>
      <c r="ET4">
        <v>206.001</v>
      </c>
      <c r="EU4" s="11">
        <v>0.1</v>
      </c>
      <c r="EV4" t="str">
        <f>IF(IF(Wycena!$C$22&lt;&gt;"-",ES4,"")&lt;=Wycena!$C$18-Wycena!$C$27,ES4,"")</f>
        <v/>
      </c>
      <c r="EW4" t="str" cm="1">
        <f t="array" ref="EW4">IF(ROWS($EV$3:EV4)&gt;(ROWS($EV$3:$EV$8)-COUNTBLANK($EV$3:$EV$8)),"",INDEX($EV$3:$EV$8,SMALL(IF($EV$3:$EV$8&lt;&gt;"",ROW($EV$3:$EV$8)-2),ROWS($EV$3:EV4))))</f>
        <v/>
      </c>
      <c r="EY4">
        <v>50</v>
      </c>
      <c r="EZ4">
        <v>50.000999999999998</v>
      </c>
      <c r="FA4" s="11">
        <f>70%+IF(Wycena!$C$20="Imitacja skrzydła ruchoma",0.1,0)</f>
        <v>0.7</v>
      </c>
      <c r="FB4" s="11">
        <f>70%+IF(Wycena!$C$21="Imitacja skrzydła ruchoma",0.1,0)</f>
        <v>0.7</v>
      </c>
      <c r="FC4" s="11">
        <v>0.7</v>
      </c>
      <c r="FD4" s="11">
        <f>IFERROR(VLOOKUP(Wycena!$C$45,Mapping!$EZ$3:$FC$6,4,1)+VLOOKUP(Wycena!$C$49,Mapping!$EZ$3:$FC$6,4,1),0)</f>
        <v>0</v>
      </c>
      <c r="FE4" t="s">
        <v>827</v>
      </c>
      <c r="FF4">
        <v>200</v>
      </c>
      <c r="FG4" t="s">
        <v>827</v>
      </c>
      <c r="FH4" t="str">
        <f>IF(Wycena!$C$20="-","-",FG4)</f>
        <v>-</v>
      </c>
      <c r="FI4" t="str">
        <f t="array" ref="FI4">IF(ROWS($FH$3:FH4)&gt;(ROWS($FH$3:$FH$14)-COUNTBLANK($FH$3:$FH$14)),"",INDEX($FH$3:$FH$14,SMALL(IF($FH$3:$FH$14&lt;&gt;"",ROW($FH$3:$FH$14)-2),ROWS($FH$3:FH4))))</f>
        <v>-</v>
      </c>
      <c r="FJ4" t="s">
        <v>827</v>
      </c>
      <c r="FK4" t="str">
        <f>IF(Wycena!$C$21="-","",FJ4)</f>
        <v/>
      </c>
      <c r="FL4" t="str">
        <f t="array" ref="FL4">IF(ROWS($FK$3:FK4)&gt;(ROWS($FK$3:$FK$14)-COUNTBLANK($FK$3:$FK$14)),"",INDEX($FK$3:$FK$14,SMALL(IF($FK$3:$FK$14&lt;&gt;"",ROW($FK$3:$FK$14)-2),ROWS($FK$3:FK4))))</f>
        <v/>
      </c>
      <c r="FO4">
        <v>1</v>
      </c>
      <c r="FP4" t="str">
        <f>IF(Wycena!$C$20="-","",FO4)</f>
        <v/>
      </c>
      <c r="FQ4" t="str" cm="1">
        <f t="array" ref="FQ4">IF(ROWS($FP$3:FP4)&gt;(ROWS($FP$3:$FP$23)-COUNTBLANK($FP$3:$FP$23)),"",INDEX($FP$3:$FP$23,SMALL(IF($FP$3:$FP$23&lt;&gt;"",ROW($FP$3:$FP$23)-2),ROWS($FP$3:FP4))))</f>
        <v/>
      </c>
      <c r="FR4" t="str">
        <f>IF(Wycena!$C$21="-","",FO4)</f>
        <v/>
      </c>
      <c r="FS4" t="str" cm="1">
        <f t="array" ref="FS4">IF(ROWS($FR$3:FR4)&gt;(ROWS($FR$3:$FR$23)-COUNTBLANK($FR$3:$FR$23)),"",INDEX($FR$3:$FR$23,SMALL(IF($FR$3:$FR$23&lt;&gt;"",ROW($FR$3:$FR$23)-2),ROWS($FR$3:FR4))))</f>
        <v/>
      </c>
      <c r="FT4" t="str">
        <f>IF(Wycena!$C$22="-","",FO4)</f>
        <v/>
      </c>
      <c r="FU4" t="str">
        <f t="array" ref="FU4">IF(ROWS($FT$3:FT4)&gt;(ROWS($FT$3:$FT$23)-COUNTBLANK($FT$3:$FT$23)),"",INDEX($FT$3:$FT$23,SMALL(IF($FT$3:$FT$23&lt;&gt;"",ROW($FT$3:$FT$23)-2),ROWS($FT$3:FT4))))</f>
        <v/>
      </c>
      <c r="FW4" t="s">
        <v>428</v>
      </c>
      <c r="FX4" s="8">
        <v>1000</v>
      </c>
      <c r="FY4" t="str">
        <f ca="1">IFERROR(VLOOKUP(Wycena!C59,OFFSET(FW15,MATCH(Wycena!C59,FW15:FW39,0),0,15,2),2,0),"")</f>
        <v>Ryglowy 3-punktowy bez gałki (standard)</v>
      </c>
      <c r="FZ4" t="str" cm="1">
        <f t="array" aca="1" ref="FZ4" ca="1">IF(ROWS($FY$3:FY4)&gt;(ROWS($FY$3:$FY$10)-COUNTBLANK($FY$3:$FY$10)),"",INDEX($FY$3:$FY$10,SMALL(IF($FY$3:$FY$10&lt;&gt;"",ROW($FY$3:$FY$10)-2),ROWS($FY$3:FY4))))</f>
        <v>Ryglowy 3-punktowy bez gałki (standard)</v>
      </c>
      <c r="GA4" t="s">
        <v>434</v>
      </c>
      <c r="GB4">
        <v>250</v>
      </c>
      <c r="GC4" t="s">
        <v>434</v>
      </c>
      <c r="GD4" t="str">
        <f t="shared" ref="GD4:GD18" si="3">GC4</f>
        <v>Klamka Medos Dublin</v>
      </c>
      <c r="GJ4" t="str">
        <f>IF((HLOOKUP(VLOOKUP(Wycena!$C$59,Mapping!$GI$35:$GJ$43,2,0),$GD$1:$GI$33,2+GK4))=0,"",(HLOOKUP(VLOOKUP(Wycena!$C$59,Mapping!$GI$35:$GJ$43,2,0),$GD$1:$GI$33,2+GK4)))</f>
        <v>Klamka Medos Dublin</v>
      </c>
      <c r="GK4">
        <v>2</v>
      </c>
      <c r="GL4" t="e">
        <f t="array" ref="GL4">IF(ROWS($GJ$3:GJ4)&gt;(ROWS($GJ$3:$GJ$33)-COUNTBLANK($GJ$3:$GJ$33)),"",INDEX($GJ$3:$GJ$33,SMALL(IF($GJ$3:$GJ$33&lt;&gt;"",ROW($GJ$3:$GJ$33)-2),ROWS($GJ$3:GJ4))))</f>
        <v>#N/A</v>
      </c>
      <c r="GM4" t="s">
        <v>433</v>
      </c>
      <c r="GN4" t="s">
        <v>468</v>
      </c>
      <c r="GO4" t="str">
        <f ca="1">IFERROR(VLOOKUP(Wycena!C61,OFFSET(GM2,MATCH(Wycena!C61,$GM$2:$GM$98,0),0,100,2),2,0),"")</f>
        <v/>
      </c>
      <c r="GP4" t="str">
        <f t="array" aca="1" ref="GP4" ca="1">IF(ROWS($GO$3:GO4)&gt;(ROWS($GO$3:$GO$6)-COUNTBLANK($GO$3:$GO$6)),"",INDEX($GO$3:$GO$6,SMALL(IF($GO$3:$GO$6&lt;&gt;"",ROW($GO$3:$GO$6)-2),ROWS($GO$3:GO4))))</f>
        <v/>
      </c>
      <c r="GQ4" t="str">
        <f>IFERROR(IF(FIND("Antaba M",Wycena!$C$61)&gt;0,80,""),"")</f>
        <v/>
      </c>
      <c r="GR4" t="str">
        <f t="array" ref="GR4">IF(ROWS($GQ$3:GQ4)&gt;(ROWS($GQ$3:$GQ$9)-COUNTBLANK($GQ$3:$GQ$9)),"",INDEX($GQ$3:$GQ$9,SMALL(IF($GQ$3:$GQ$9&lt;&gt;"",ROW($GQ$3:$GQ$9)-2),ROWS($GQ$3:GQ4))))</f>
        <v/>
      </c>
      <c r="GS4" t="s">
        <v>554</v>
      </c>
      <c r="GT4">
        <v>0</v>
      </c>
      <c r="GU4" t="str">
        <f>IF(OR(Wycena!$C$59=Mapping!$FW$7,Wycena!$C$59=Mapping!$FW$6),"",GS4)</f>
        <v>Standard patyna</v>
      </c>
      <c r="GV4" t="str">
        <f t="array" ref="GV4">IF(ROWS($GU$3:GU4)&gt;(ROWS($GU$3:$GU$8)-COUNTBLANK($GU$3:$GU$8)),"",INDEX($GU$3:$GU$8,SMALL(IF($GU$3:$GU$8&lt;&gt;"",ROW($GU$3:$GU$8)-2),ROWS($GU$3:GU4))))</f>
        <v>Standard patyna</v>
      </c>
      <c r="GW4" t="s">
        <v>487</v>
      </c>
      <c r="GX4">
        <v>350</v>
      </c>
      <c r="GY4" t="str">
        <f>IF(Wycena!$C$59=Mapping!$GW$15,Mapping!GW4,"")</f>
        <v>Manualna</v>
      </c>
      <c r="GZ4" t="str">
        <f>IFERROR(IF(FIND("Klamka",Wycena!$C$61)&gt;0,"",GY4),GY4)</f>
        <v>Manualna</v>
      </c>
      <c r="HA4" t="str" cm="1">
        <f t="array" ref="HA4">IF(ROWS($GZ$3:GZ4)&gt;(ROWS($GZ$3:$GZ$5)-COUNTBLANK(GZ$3:$GZ$5)),"",INDEX(GZ$3:$GZ$5,SMALL(IF(GZ$3:$GZ$5&lt;&gt;"",ROW(GZ$3:$GZ$5)-2),ROWS($GZ$3:GZ4))))</f>
        <v>Manualna</v>
      </c>
      <c r="HB4" t="s">
        <v>357</v>
      </c>
      <c r="HC4">
        <f>300-IF(Wycena!C59=Mapping!FY31,300,0)</f>
        <v>300</v>
      </c>
      <c r="HD4" t="str" cm="1">
        <f t="array" ref="HD4">IF(ROWS($HB$3:HB4)&gt;(ROWS($HB$3:$HB$4)-COUNTBLANK($HB$3:$HB$4)),"",INDEX($HB$3:$HB$4,SMALL(IF($HB$3:$HB$4&lt;&gt;"",ROW($HB$3:$HB$4)-2),ROWS($HB$3:HB4))))</f>
        <v>Tak</v>
      </c>
      <c r="HF4" t="s">
        <v>498</v>
      </c>
      <c r="HG4">
        <v>400</v>
      </c>
      <c r="HH4">
        <f>IF(Wycena!$C$59=Mapping!$HB$31,-400,0)+HG4</f>
        <v>400</v>
      </c>
      <c r="HI4" t="str">
        <f>IF(Wycena!$C$6="Brak (pełne)","",HF4)</f>
        <v>W skrzydle</v>
      </c>
      <c r="HJ4" t="str">
        <f>HI4</f>
        <v>W skrzydle</v>
      </c>
      <c r="HK4" t="str" cm="1">
        <f t="array" ref="HK4">IF(ROWS($HJ$3:HJ4)&gt;(ROWS($HJ$3:$HJ$13)-COUNTBLANK($HJ$3:$HJ$13)),"",INDEX($HJ$3:$HJ$13,SMALL(IF($HJ$3:$HJ$13&lt;&gt;"",ROW($HJ$3:$HJ$13)-2),ROWS($HJ$3:HJ4))))</f>
        <v>W skrzydle</v>
      </c>
      <c r="HM4" t="s">
        <v>512</v>
      </c>
      <c r="HN4">
        <v>200</v>
      </c>
      <c r="HO4">
        <f>(1+IFERROR(VLOOKUP(Wycena!$C$45,Mapping!$EZ$3:$FC$6,4,1),0)+IFERROR(VLOOKUP(Wycena!$C$49,Mapping!$EZ$3:$FC$6,4,1),0))*HN4</f>
        <v>200</v>
      </c>
      <c r="HP4" t="s">
        <v>512</v>
      </c>
      <c r="HQ4" t="str">
        <f t="array" ref="HQ4">IF(ROWS($HP$3:HP4)&gt;(ROWS($HP$3:$HP$5)-COUNTBLANK($HP$3:$HP$5)),"",INDEX($HP$3:$HP$5,SMALL(IF($HP$3:$HP$5&lt;&gt;"",ROW($HP$3:$HP$5)-2),ROWS($HP$3:HP4))))</f>
        <v>Drewniany z nakładką aluminową</v>
      </c>
      <c r="HS4">
        <v>3</v>
      </c>
      <c r="HT4">
        <v>60</v>
      </c>
      <c r="HU4">
        <f>(1+IFERROR(VLOOKUP(Wycena!$C$45,Mapping!$EZ$3:$FC$6,4,1),0)+IFERROR(VLOOKUP(Wycena!$C$49,Mapping!$EZ$3:$FC$6,4,1),0))*HT4</f>
        <v>60</v>
      </c>
      <c r="HW4" t="s">
        <v>521</v>
      </c>
      <c r="HX4">
        <v>100</v>
      </c>
      <c r="HY4">
        <v>100</v>
      </c>
      <c r="HZ4">
        <v>200</v>
      </c>
      <c r="IA4">
        <v>200</v>
      </c>
      <c r="IB4" t="s">
        <v>521</v>
      </c>
      <c r="IC4" t="str">
        <f t="array" ref="IC4">IF(ROWS($IB$3:IB4)&gt;(ROWS($IB$3:$IB$9)-COUNTBLANK($IB$3:$IB$9)),"",INDEX($IB$3:$IB$9,SMALL(IF($IB$3:$IB$9&lt;&gt;"",ROW($IB$3:$IB$9)-2),ROWS($IB$3:IB4))))</f>
        <v>Z jednej strony skrzydła</v>
      </c>
      <c r="IE4" t="s">
        <v>466</v>
      </c>
      <c r="IF4">
        <v>150</v>
      </c>
      <c r="IH4" t="s">
        <v>534</v>
      </c>
      <c r="II4" s="8">
        <v>350</v>
      </c>
      <c r="IK4" t="s">
        <v>544</v>
      </c>
      <c r="IL4">
        <v>400</v>
      </c>
      <c r="IN4" t="s">
        <v>546</v>
      </c>
      <c r="IO4">
        <v>200</v>
      </c>
      <c r="IQ4" t="s">
        <v>357</v>
      </c>
      <c r="IR4">
        <v>50</v>
      </c>
      <c r="IT4" t="s">
        <v>357</v>
      </c>
      <c r="IU4">
        <v>120</v>
      </c>
      <c r="IW4" s="11">
        <v>0.01</v>
      </c>
      <c r="IY4" s="8">
        <v>200</v>
      </c>
      <c r="JA4" s="11">
        <v>0.08</v>
      </c>
      <c r="JC4" t="s">
        <v>469</v>
      </c>
      <c r="JD4" t="str">
        <f>IF(Wycena!C14=Mapping!JC6,"",Mapping!JC4)</f>
        <v/>
      </c>
      <c r="JE4">
        <f>IF(JD4=JD6,0,IFERROR(IF(Wycena!C42*1&gt;214,400,350),350))</f>
        <v>350</v>
      </c>
      <c r="JF4" t="str" cm="1">
        <f t="array" ref="JF4">IF(ROWS($JD$3:JD4)&gt;(ROWS($JD$3:$JD$4)-COUNTBLANK($JD$3:$JD$4)),"",INDEX($JD$3:$JD$4,SMALL(IF($JD$3:$JD$4&lt;&gt;"",ROW($JD$3:$JD$4)-2),ROWS($JD$3:JD4))))</f>
        <v/>
      </c>
    </row>
    <row r="5" spans="1:266" x14ac:dyDescent="0.35">
      <c r="A5" t="s">
        <v>80</v>
      </c>
      <c r="B5">
        <v>20</v>
      </c>
      <c r="C5">
        <v>20</v>
      </c>
      <c r="D5">
        <v>20</v>
      </c>
      <c r="E5">
        <v>20</v>
      </c>
      <c r="F5">
        <v>34</v>
      </c>
      <c r="G5">
        <v>34</v>
      </c>
      <c r="H5">
        <f t="shared" si="0"/>
        <v>36</v>
      </c>
      <c r="I5">
        <f t="shared" si="1"/>
        <v>36</v>
      </c>
      <c r="J5" t="s">
        <v>821</v>
      </c>
      <c r="K5">
        <v>4</v>
      </c>
      <c r="M5" t="str">
        <f ca="1">IFERROR(VLOOKUP(Wycena!$C$5,OFFSET(SKU!$B$1,MATCH(Wycena!$C$5,SKU!$B$1:$B$743,0)+1,0,1000,6),5,0),"")</f>
        <v/>
      </c>
      <c r="N5" s="8" t="str">
        <f ca="1">IFERROR(VLOOKUP(Wycena!$C$5,OFFSET(SKU!$B$1,MATCH(Wycena!$C$5,SKU!$B$1:$B$743,0)+1,0,1000,6),2,0)-VLOOKUP(Wycena!$C$5,SKU!$B$1:$C$743,2,0),"")</f>
        <v/>
      </c>
      <c r="O5" t="str" cm="1">
        <f t="array" aca="1" ref="O5" ca="1">IF(ROWS($M$3:M5)&gt;(ROWS($M$3:$M$10)-COUNTBLANK($M$3:$M$10)),"",INDEX($M$3:$M$10,SMALL(IF($M$3:$M$10&lt;&gt;"",ROW($M$3:$M$10)-2),ROWS($M$3:M5))))</f>
        <v/>
      </c>
      <c r="Q5" t="s">
        <v>265</v>
      </c>
      <c r="R5">
        <v>900</v>
      </c>
      <c r="S5" t="e">
        <f>IF(VLOOKUP(Wycena!$C$5,SKU!$B$1:$D$743,3,0)="Płytowe",Q5,"")</f>
        <v>#N/A</v>
      </c>
      <c r="T5" t="e" cm="1">
        <f t="array" ref="T5">IF(ROWS($S$3:S5)&gt;(ROWS($S$3:$S$8)-COUNTBLANK($S$3:$S$8)),"",INDEX($S$3:$S$8,SMALL(IF($S$3:$S$8&lt;&gt;"",ROW($S$3:$S$8)-2),ROWS($S$3:S5))))</f>
        <v>#N/A</v>
      </c>
      <c r="V5" t="s">
        <v>272</v>
      </c>
      <c r="W5">
        <v>300</v>
      </c>
      <c r="Y5" t="s">
        <v>276</v>
      </c>
      <c r="Z5">
        <v>0</v>
      </c>
      <c r="AA5" t="str">
        <f t="shared" si="2"/>
        <v>Dąb</v>
      </c>
      <c r="AB5" t="str">
        <f>AA5</f>
        <v>Dąb</v>
      </c>
      <c r="AC5" t="e" cm="1">
        <f t="array" ref="AC5">IF(ROWS($AB$3:AB5)&gt;(ROWS($AB$3:$AB$229)-COUNTBLANK($AB$3:$AB$229)),"",INDEX($AB$3:$AB$229,SMALL(IF($AB$3:$AB$229&lt;&gt;"",ROW($AB$3:$AB$229)-2),ROWS($AB$3:AB5))))</f>
        <v>#N/A</v>
      </c>
      <c r="AE5" t="s">
        <v>263</v>
      </c>
      <c r="AG5" t="s">
        <v>263</v>
      </c>
      <c r="AI5" t="e">
        <f>IF(VLOOKUP(Wycena!$C$5,SKU!$B$1:$I$743,8,0)&gt;0,"Skała beżowa","")</f>
        <v>#N/A</v>
      </c>
      <c r="AJ5" t="e">
        <f>VLOOKUP(Wycena!$C$5,SKU!$B$1:$I$743,8,0)</f>
        <v>#N/A</v>
      </c>
      <c r="AK5" t="e" cm="1">
        <f t="array" ref="AK5">IF(ROWS($AI$3:AI5)&gt;(ROWS($AI$3:$AI$7)-COUNTBLANK($AI$3:$AI$7)),"",INDEX($AI$3:$AI$7,SMALL(IF($AI$3:$AI$7&lt;&gt;"",ROW($AI$3:$AI$7)-2),ROWS($AI$3:AI5))))</f>
        <v>#N/A</v>
      </c>
      <c r="AM5" t="s">
        <v>294</v>
      </c>
      <c r="AN5" t="e">
        <f>IF(OR((VLOOKUP(Wycena!$C$5,SKU!$B$1:$E$743,4,0)="Simple"),VLOOKUP(Wycena!$C$5,SKU!$B$1:$E$743,4,0)="Prestige Glass",VLOOKUP(Wycena!$C$5,SKU!$B$1:$E$743,4,0)="Maverick"),AM5,"")</f>
        <v>#N/A</v>
      </c>
      <c r="AO5">
        <f>IFERROR(IF(Wycena!C42*1&gt;214,2800,2400),2400)</f>
        <v>2400</v>
      </c>
      <c r="AP5" t="e" cm="1">
        <f t="array" ref="AP5">IF(ROWS($AN$3:AN5)&gt;(ROWS($AN$3:$AN$5)-COUNTBLANK($AN$3:$AN$5)),"",INDEX($AN$3:$AN$5,SMALL(IF($AN$3:$AN$5&lt;&gt;"",ROW($AN$3:$AN$5)-2),ROWS($AN$3:AN5))))</f>
        <v>#N/A</v>
      </c>
      <c r="AV5" t="str" cm="1">
        <f t="array" ref="AV5">IF(ROWS($AT$3:AT5)&gt;(ROWS($AT$3:$AT$5)-COUNTBLANK($AT$3:$AT$5)),"",INDEX($AT$3:$AT$5,SMALL(IF($AT$3:$AT$5&lt;&gt;"",ROW($AT$3:$AT$5)-2),ROWS($AT$3:AT5))))</f>
        <v/>
      </c>
      <c r="AX5">
        <v>74</v>
      </c>
      <c r="AY5">
        <v>0</v>
      </c>
      <c r="AZ5">
        <v>0</v>
      </c>
      <c r="BA5">
        <f>IF(Wycena!$C$16=78,Mapping!AY5,AZ5)</f>
        <v>0</v>
      </c>
      <c r="BB5">
        <v>2</v>
      </c>
      <c r="BC5" t="s">
        <v>304</v>
      </c>
      <c r="BD5">
        <v>182</v>
      </c>
      <c r="BE5">
        <v>0</v>
      </c>
      <c r="BF5">
        <v>0</v>
      </c>
      <c r="BG5">
        <f>IF(Wycena!$C$16=78,Mapping!BE5,BF5)</f>
        <v>0</v>
      </c>
      <c r="BK5" t="s">
        <v>313</v>
      </c>
      <c r="BL5" t="s">
        <v>313</v>
      </c>
      <c r="BM5" t="str" cm="1">
        <f t="array" ref="BM5">IF(ROWS($BL$3:BL5)&gt;(ROWS($BL$3:$BL$6)-COUNTBLANK($BL$3:$BL$6)),"",INDEX($BL$3:$BL$6,SMALL(IF($BL$3:$BL$6&lt;&gt;"",ROW($BL$3:$BL$6)-2),ROWS($BL$3:BL5))))</f>
        <v>Prawe na zewnątrz</v>
      </c>
      <c r="BO5" t="s">
        <v>320</v>
      </c>
      <c r="BP5" t="e">
        <f>IF(VLOOKUP(Wycena!$C$5,SKU!$B$1:$D$743,3,0)="Płytowe","",BO5)</f>
        <v>#N/A</v>
      </c>
      <c r="BQ5" t="e">
        <f>BP5</f>
        <v>#N/A</v>
      </c>
      <c r="BR5" t="e">
        <f>IF(Wycena!$C$14="Bezprzylgowe Glass","",BQ5)</f>
        <v>#N/A</v>
      </c>
      <c r="BS5" t="e">
        <f t="array" ref="BS5">IF(ROWS($BR$3:BR5)&gt;(ROWS($BR$3:$BR$8)-COUNTBLANK($BR$3:$BR$8)),"",INDEX($BR$3:$BR$8,SMALL(IF($BR$3:$BR$8&lt;&gt;"",ROW($BR$3:$BR$8)-2),ROWS($BR$3:BR5))))</f>
        <v>#N/A</v>
      </c>
      <c r="BU5" t="s">
        <v>393</v>
      </c>
      <c r="BV5" s="8" t="e">
        <f>((1200+IF(Wycena!$F$9&lt;&gt;0,200,0))*(1+IFERROR(VLOOKUP(Wycena!$C$45,Mapping!$EZ$3:$FC$6,4,1),0)+IFERROR(VLOOKUP(Wycena!$C$49,Mapping!$EZ$3:$FC$6,4,1),0))*(1+VLOOKUP(Wycena!$C$54,Mapping!$BW$3:$BX$6,2,1)))</f>
        <v>#N/A</v>
      </c>
      <c r="BW5">
        <v>70.000100000000003</v>
      </c>
      <c r="BX5" s="11">
        <v>0.5</v>
      </c>
      <c r="BY5" t="str">
        <f>IF(Wycena!$C$14="Bezprzylgowe Glass","",BU5)</f>
        <v>Imitacja skrzydła</v>
      </c>
      <c r="BZ5" t="str">
        <f t="array" ref="BZ5">IF(ROWS($BY$3:BY5)&gt;(ROWS($BY$3:$BY$6)-COUNTBLANK($BY$3:$BY$6)),"",INDEX($BY$3:$BY$6,SMALL(IF($BY$3:$BY$6&lt;&gt;"",ROW($BY$3:$BY$6)-2),ROWS($BY$3:BY5))))</f>
        <v>Imitacja skrzydła</v>
      </c>
      <c r="CA5" t="s">
        <v>8</v>
      </c>
      <c r="CB5">
        <v>50</v>
      </c>
      <c r="CC5" t="e">
        <f>CB5*(1+IFERROR(VLOOKUP(Wycena!$C$45,Mapping!$EZ$3:$FC$6,4,1),0)+IFERROR(VLOOKUP(Wycena!$C$49,Mapping!$EZ$3:$FC$6,4,1),0))*(1+VLOOKUP(Wycena!$C$54,Mapping!$BW$3:$BX$6,2,1))</f>
        <v>#N/A</v>
      </c>
      <c r="CD5" t="s">
        <v>76</v>
      </c>
      <c r="CE5" t="str">
        <f>IF(Wycena!$C$22="-","",CD5)</f>
        <v/>
      </c>
      <c r="CF5" t="str" cm="1">
        <f t="array" ref="CF5">IF(ROWS($CE$3:CE5)&gt;(ROWS($CE$3:$CE$13)-COUNTBLANK($CE$3:$CE$13)),"",INDEX($CE$3:$CE$13,SMALL(IF($CE$3:$CE$13&lt;&gt;"",ROW($CE$3:$CE$13)-2),ROWS($CE$3:CE5))))</f>
        <v/>
      </c>
      <c r="CJ5" t="s">
        <v>263</v>
      </c>
      <c r="CK5" t="s">
        <v>263</v>
      </c>
      <c r="CL5" t="s">
        <v>263</v>
      </c>
      <c r="CM5" t="s">
        <v>263</v>
      </c>
      <c r="CO5" t="s">
        <v>327</v>
      </c>
      <c r="CP5">
        <v>1600</v>
      </c>
      <c r="CQ5" t="str">
        <f>IF(Wycena!$C$25="Krosnowa","",CO5)</f>
        <v>Przy skrzydle z dwóch stron</v>
      </c>
      <c r="CR5" t="str">
        <f>IF(Wycena!$C$14="Bezprzylgowe Glass","",CQ5)</f>
        <v>Przy skrzydle z dwóch stron</v>
      </c>
      <c r="CS5" t="str">
        <f>CR5</f>
        <v>Przy skrzydle z dwóch stron</v>
      </c>
      <c r="CT5" t="str">
        <f>CS5</f>
        <v>Przy skrzydle z dwóch stron</v>
      </c>
      <c r="CU5" t="str" cm="1">
        <f t="array" ref="CU5">IF(ROWS($CT$3:CT5)&gt;(ROWS($CT$3:$CT$11)-COUNTBLANK($CT$3:$CT$11)),"",INDEX($CT$3:$CT$11,SMALL(IF($CT$3:$CT$11&lt;&gt;"",ROW($CT$3:$CT$11)-2),ROWS($CT$3:CT5))))</f>
        <v>Przy skrzydle z dwóch stron</v>
      </c>
      <c r="CY5" t="s">
        <v>294</v>
      </c>
      <c r="CZ5">
        <v>12</v>
      </c>
      <c r="DA5">
        <v>8</v>
      </c>
      <c r="DB5">
        <f>IF(DA5&gt;=VLOOKUP(Wycena!$C$14,Mapping!$CY$3:$CZ$5,2,0),DA5,"")</f>
        <v>8</v>
      </c>
      <c r="DC5" cm="1">
        <f t="array" ref="DC5">IF(ROWS($DB$3:DB5)&gt;(ROWS($DB$3:$DB$28)-COUNTBLANK($DB$3:$DB$28)),"",INDEX($DB$3:$DB$28,SMALL(IF($DB$3:$DB$28&lt;&gt;"",ROW($DB$3:$DB$28)-2),ROWS($DB$3:DB5))))</f>
        <v>8</v>
      </c>
      <c r="DG5" t="s">
        <v>294</v>
      </c>
      <c r="DH5">
        <v>12</v>
      </c>
      <c r="DI5">
        <v>12</v>
      </c>
      <c r="DK5">
        <v>8</v>
      </c>
      <c r="DL5">
        <f>IF(DK5&gt;=VLOOKUP(Wycena!$C$14,Mapping!$DG$3:$DH$5,2,0),DK5,"")</f>
        <v>8</v>
      </c>
      <c r="DM5" cm="1">
        <f t="array" ref="DM5">IF(ROWS($DL$3:DL5)&gt;(ROWS($DL$3:$DL$28)-COUNTBLANK($DL$3:$DL$28)),"",INDEX($DL$3:$DL$28,SMALL(IF($DL$3:$DL$28&lt;&gt;"",ROW($DL$3:$DL$28)-2),ROWS($DL$3:DL5))))</f>
        <v>8</v>
      </c>
      <c r="DN5">
        <f>IF(DK5&gt;=VLOOKUP(Wycena!$C$14,Mapping!$DG$3:$DI$5,3,0),DK5,"")</f>
        <v>8</v>
      </c>
      <c r="DO5" cm="1">
        <f t="array" ref="DO5">IF(ROWS($DN$3:DN5)&gt;(ROWS($DN$3:$DN$28)-COUNTBLANK($DN$3:$DN$28)),"",INDEX($DN$3:$DN$28,SMALL(IF($DN$3:$DN$28&lt;&gt;"",ROW($DN$3:$DN$28)-2),ROWS($DN$3:DN5))))</f>
        <v>8</v>
      </c>
      <c r="DS5">
        <v>8</v>
      </c>
      <c r="DT5" t="str">
        <f>IF(DS5&gt;=VLOOKUP(Wycena!$C$25,Mapping!$DQ$3:$DR$4,2,0),DS5,"")</f>
        <v/>
      </c>
      <c r="DU5" cm="1">
        <f t="array" ref="DU5">IF(ROWS($DT$3:DT5)&gt;(ROWS($DT$3:$DT$28)-COUNTBLANK($DT$3:$DT$28)),"",INDEX($DT$3:$DT$28,SMALL(IF($DT$3:$DT$28&lt;&gt;"",ROW($DT$3:$DT$28)-2),ROWS($DT$3:DT5))))</f>
        <v>12</v>
      </c>
      <c r="DW5">
        <v>2</v>
      </c>
      <c r="ED5" t="s">
        <v>263</v>
      </c>
      <c r="EE5" t="s">
        <v>263</v>
      </c>
      <c r="EG5" t="s">
        <v>773</v>
      </c>
      <c r="EH5">
        <f>600+((IF(Wycena!C20&lt;&gt;"-",1,0)+IF(Wycena!C21&lt;&gt;"-",1,0))*EH8+IF((IF(Wycena!C16="-",212,IF(Wycena!C16=78, 212,214)))&lt;Wycena!$C$18,1,0)*EH9*2)</f>
        <v>600</v>
      </c>
      <c r="EJ5" t="s">
        <v>773</v>
      </c>
      <c r="EK5">
        <f>280+((IF(Wycena!C20&lt;&gt;"-",1,0)+IF(Wycena!C21&lt;&gt;"-",1,0))*EK8+IF((IF(Wycena!C16="-",212,IF(Wycena!C16=78, 212,214)))&lt;Wycena!$C$18,1,0)*EK9*2)</f>
        <v>280</v>
      </c>
      <c r="EM5">
        <v>90</v>
      </c>
      <c r="EN5">
        <v>90.001000000000005</v>
      </c>
      <c r="EO5">
        <v>300</v>
      </c>
      <c r="EP5" t="str">
        <f>IF(OR(Wycena!$C$20&lt;&gt;"-",Wycena!$C$21&lt;&gt;"-",),EM5,"")</f>
        <v/>
      </c>
      <c r="EQ5" t="str" cm="1">
        <f t="array" ref="EQ5">IF(ROWS($EP$3:EP5)&gt;(ROWS($EP$3:$EP$8)-COUNTBLANK($EP$3:$EP$8)),"",INDEX($EP$3:$EP$8,SMALL(IF($EP$3:$EP$8&lt;&gt;"",ROW($EP$3:$EP$8)-2),ROWS($EP$3:EP5))))</f>
        <v/>
      </c>
      <c r="ES5">
        <v>214</v>
      </c>
      <c r="ET5">
        <v>214.001</v>
      </c>
      <c r="EU5" s="11">
        <v>0.2</v>
      </c>
      <c r="EV5" t="str">
        <f>IF(IF(Wycena!$C$22&lt;&gt;"-",ES5,"")&lt;=Wycena!$C$18-Wycena!$C$27,ES5,"")</f>
        <v/>
      </c>
      <c r="EW5" t="str" cm="1">
        <f t="array" ref="EW5">IF(ROWS($EV$3:EV5)&gt;(ROWS($EV$3:$EV$8)-COUNTBLANK($EV$3:$EV$8)),"",INDEX($EV$3:$EV$8,SMALL(IF($EV$3:$EV$8&lt;&gt;"",ROW($EV$3:$EV$8)-2),ROWS($EV$3:EV5))))</f>
        <v/>
      </c>
      <c r="EY5">
        <v>70</v>
      </c>
      <c r="EZ5">
        <v>70.001000000000005</v>
      </c>
      <c r="FA5" s="11">
        <f>100%+IF(Wycena!$C$20="Imitacja skrzydła ruchoma",0.1,0)</f>
        <v>1</v>
      </c>
      <c r="FB5" s="11">
        <f>100%+IF(Wycena!$C$21="Imitacja skrzydła ruchoma",0.1,0)</f>
        <v>1</v>
      </c>
      <c r="FC5" s="11">
        <v>1</v>
      </c>
      <c r="FD5" s="11">
        <f>IFERROR(VLOOKUP(Wycena!$C$45,Mapping!$EZ$3:$FC$6,4,1)+VLOOKUP(Wycena!$C$49,Mapping!$EZ$3:$FC$6,4,1),0)</f>
        <v>0</v>
      </c>
      <c r="FE5" t="s">
        <v>76</v>
      </c>
      <c r="FF5">
        <v>200</v>
      </c>
      <c r="FG5" t="s">
        <v>76</v>
      </c>
      <c r="FH5" t="str">
        <f>IF(Wycena!$C$20="-","",FG5)</f>
        <v/>
      </c>
      <c r="FI5" t="str">
        <f t="array" ref="FI5">IF(ROWS($FH$3:FH5)&gt;(ROWS($FH$3:$FH$14)-COUNTBLANK($FH$3:$FH$14)),"",INDEX($FH$3:$FH$14,SMALL(IF($FH$3:$FH$14&lt;&gt;"",ROW($FH$3:$FH$14)-2),ROWS($FH$3:FH5))))</f>
        <v/>
      </c>
      <c r="FJ5" t="s">
        <v>76</v>
      </c>
      <c r="FK5" t="str">
        <f>IF(Wycena!$C$21="-","",FJ5)</f>
        <v/>
      </c>
      <c r="FL5" t="str">
        <f t="array" ref="FL5">IF(ROWS($FK$3:FK5)&gt;(ROWS($FK$3:$FK$14)-COUNTBLANK($FK$3:$FK$14)),"",INDEX($FK$3:$FK$14,SMALL(IF($FK$3:$FK$14&lt;&gt;"",ROW($FK$3:$FK$14)-2),ROWS($FK$3:FK5))))</f>
        <v/>
      </c>
      <c r="FN5" t="s">
        <v>383</v>
      </c>
      <c r="FO5">
        <v>2</v>
      </c>
      <c r="FP5" t="str">
        <f>IF(Wycena!$C$20="-","",FO5)</f>
        <v/>
      </c>
      <c r="FQ5" t="str" cm="1">
        <f t="array" ref="FQ5">IF(ROWS($FP$3:FP5)&gt;(ROWS($FP$3:$FP$23)-COUNTBLANK($FP$3:$FP$23)),"",INDEX($FP$3:$FP$23,SMALL(IF($FP$3:$FP$23&lt;&gt;"",ROW($FP$3:$FP$23)-2),ROWS($FP$3:FP5))))</f>
        <v/>
      </c>
      <c r="FR5" t="str">
        <f>IF(Wycena!$C$21="-","",FO5)</f>
        <v/>
      </c>
      <c r="FS5" t="str" cm="1">
        <f t="array" ref="FS5">IF(ROWS($FR$3:FR5)&gt;(ROWS($FR$3:$FR$23)-COUNTBLANK($FR$3:$FR$23)),"",INDEX($FR$3:$FR$23,SMALL(IF($FR$3:$FR$23&lt;&gt;"",ROW($FR$3:$FR$23)-2),ROWS($FR$3:FR5))))</f>
        <v/>
      </c>
      <c r="FT5" t="str">
        <f>IF(Wycena!$C$22="-","",FO5)</f>
        <v/>
      </c>
      <c r="FU5" t="str">
        <f t="array" ref="FU5">IF(ROWS($FT$3:FT5)&gt;(ROWS($FT$3:$FT$23)-COUNTBLANK($FT$3:$FT$23)),"",INDEX($FT$3:$FT$23,SMALL(IF($FT$3:$FT$23&lt;&gt;"",ROW($FT$3:$FT$23)-2),ROWS($FT$3:FT5))))</f>
        <v/>
      </c>
      <c r="FW5" t="s">
        <v>427</v>
      </c>
      <c r="FX5" s="8">
        <v>1300</v>
      </c>
      <c r="FY5" t="str">
        <f ca="1">IFERROR(VLOOKUP(Wycena!C59,OFFSET(FW15,MATCH(Wycena!C59,FW15:FW40,0)+1,0,15,2),2,0),"")</f>
        <v>Ryglowy 4-punktowy</v>
      </c>
      <c r="FZ5" t="str" cm="1">
        <f t="array" aca="1" ref="FZ5" ca="1">IF(ROWS($FY$3:FY5)&gt;(ROWS($FY$3:$FY$10)-COUNTBLANK($FY$3:$FY$10)),"",INDEX($FY$3:$FY$10,SMALL(IF($FY$3:$FY$10&lt;&gt;"",ROW($FY$3:$FY$10)-2),ROWS($FY$3:FY5))))</f>
        <v>Ryglowy 4-punktowy</v>
      </c>
      <c r="GA5" t="s">
        <v>440</v>
      </c>
      <c r="GB5">
        <v>600</v>
      </c>
      <c r="GC5" t="s">
        <v>440</v>
      </c>
      <c r="GD5" t="str">
        <f t="shared" si="3"/>
        <v>Klamka Barański Retro</v>
      </c>
      <c r="GJ5" t="str">
        <f>IF((HLOOKUP(VLOOKUP(Wycena!$C$59,Mapping!$GI$35:$GJ$43,2,0),$GD$1:$GI$33,2+GK5))=0,"",(HLOOKUP(VLOOKUP(Wycena!$C$59,Mapping!$GI$35:$GJ$43,2,0),$GD$1:$GI$33,2+GK5)))</f>
        <v>Klamka Barański Retro</v>
      </c>
      <c r="GK5">
        <v>3</v>
      </c>
      <c r="GL5" t="e">
        <f t="array" ref="GL5">IF(ROWS($GJ$3:GJ5)&gt;(ROWS($GJ$3:$GJ$33)-COUNTBLANK($GJ$3:$GJ$33)),"",INDEX($GJ$3:$GJ$33,SMALL(IF($GJ$3:$GJ$33&lt;&gt;"",ROW($GJ$3:$GJ$33)-2),ROWS($GJ$3:GJ5))))</f>
        <v>#N/A</v>
      </c>
      <c r="GM5" t="s">
        <v>433</v>
      </c>
      <c r="GN5" t="s">
        <v>469</v>
      </c>
      <c r="GO5" t="str">
        <f ca="1">IFERROR(VLOOKUP(Wycena!C61,OFFSET(GM2,MATCH(Wycena!C61,$GM$2:$GM$98,0)+1,0,100,2),2,0),"")</f>
        <v/>
      </c>
      <c r="GP5" t="str">
        <f t="array" aca="1" ref="GP5" ca="1">IF(ROWS($GO$3:GO5)&gt;(ROWS($GO$3:$GO$6)-COUNTBLANK($GO$3:$GO$6)),"",INDEX($GO$3:$GO$6,SMALL(IF($GO$3:$GO$6&lt;&gt;"",ROW($GO$3:$GO$6)-2),ROWS($GO$3:GO5))))</f>
        <v/>
      </c>
      <c r="GQ5" t="str">
        <f>IFERROR(IF(FIND("Antaba M",Wycena!$C$61)&gt;0,100,""),"")</f>
        <v/>
      </c>
      <c r="GR5" t="str">
        <f t="array" ref="GR5">IF(ROWS($GQ$3:GQ5)&gt;(ROWS($GQ$3:$GQ$9)-COUNTBLANK($GQ$3:$GQ$9)),"",INDEX($GQ$3:$GQ$9,SMALL(IF($GQ$3:$GQ$9&lt;&gt;"",ROW($GQ$3:$GQ$9)-2),ROWS($GQ$3:GQ5))))</f>
        <v/>
      </c>
      <c r="GS5" t="s">
        <v>493</v>
      </c>
      <c r="GT5">
        <v>350</v>
      </c>
      <c r="GU5" t="str">
        <f>IF(OR(Wycena!$C$59=Mapping!$FW$7,Wycena!$C$59=Mapping!$FW$6),"",GS5)</f>
        <v>Klasy B czarna</v>
      </c>
      <c r="GV5" t="str">
        <f t="array" ref="GV5">IF(ROWS($GU$3:GU5)&gt;(ROWS($GU$3:$GU$8)-COUNTBLANK($GU$3:$GU$8)),"",INDEX($GU$3:$GU$8,SMALL(IF($GU$3:$GU$8&lt;&gt;"",ROW($GU$3:$GU$8)-2),ROWS($GU$3:GU5))))</f>
        <v>Klasy B czarna</v>
      </c>
      <c r="GW5" t="s">
        <v>488</v>
      </c>
      <c r="GX5">
        <f>IF(Wycena!C59=Mapping!GW18,0,400)</f>
        <v>400</v>
      </c>
      <c r="GY5" t="str">
        <f>IF(OR(Wycena!$C$59=Mapping!$GW$18,Wycena!$C$59=Mapping!$GW$15),Mapping!GW5,"")</f>
        <v>Elektrozaczep</v>
      </c>
      <c r="GZ5" t="str">
        <f>IFERROR(IF(FIND("Klamka",Wycena!$C$61)&gt;0,"",GY5),GY5)</f>
        <v>Elektrozaczep</v>
      </c>
      <c r="HA5" t="str" cm="1">
        <f t="array" ref="HA5">IF(ROWS($GZ$3:GZ5)&gt;(ROWS($GZ$3:$GZ$5)-COUNTBLANK(GZ$3:$GZ$5)),"",INDEX(GZ$3:$GZ$5,SMALL(IF(GZ$3:$GZ$5&lt;&gt;"",ROW(GZ$3:$GZ$5)-2),ROWS($GZ$3:GZ5))))</f>
        <v>Elektrozaczep</v>
      </c>
      <c r="HB5" t="s">
        <v>263</v>
      </c>
      <c r="HC5" t="s">
        <v>263</v>
      </c>
      <c r="HD5" t="s">
        <v>263</v>
      </c>
      <c r="HF5" t="s">
        <v>499</v>
      </c>
      <c r="HG5">
        <v>800</v>
      </c>
      <c r="HH5">
        <f>IF(Wycena!$C$59=Mapping!$HB$31,-400,0)+HG5</f>
        <v>800</v>
      </c>
      <c r="HI5" t="str">
        <f>IF(Wycena!$C$6="Brak (pełne)","",HF5)</f>
        <v>W skrzydle i dostawce</v>
      </c>
      <c r="HJ5" t="str">
        <f>IF(OR(AND(Wycena!$C$20="-",Wycena!$C$21&lt;&gt;"-"),AND(Wycena!$C$21="-",Wycena!$C$20&lt;&gt;"-")),HI5,"")</f>
        <v/>
      </c>
      <c r="HK5" t="str" cm="1">
        <f t="array" ref="HK5">IF(ROWS($HJ$3:HJ5)&gt;(ROWS($HJ$3:$HJ$13)-COUNTBLANK($HJ$3:$HJ$13)),"",INDEX($HJ$3:$HJ$13,SMALL(IF($HJ$3:$HJ$13&lt;&gt;"",ROW($HJ$3:$HJ$13)-2),ROWS($HJ$3:HJ5))))</f>
        <v/>
      </c>
      <c r="HS5">
        <v>5</v>
      </c>
      <c r="HT5">
        <v>70</v>
      </c>
      <c r="HU5">
        <f>(1+IFERROR(VLOOKUP(Wycena!$C$45,Mapping!$EZ$3:$FC$6,4,1),0)+IFERROR(VLOOKUP(Wycena!$C$49,Mapping!$EZ$3:$FC$6,4,1),0))*HT5</f>
        <v>70</v>
      </c>
      <c r="HW5" t="s">
        <v>523</v>
      </c>
      <c r="HX5">
        <v>100</v>
      </c>
      <c r="HY5">
        <f>(1+IFERROR(VLOOKUP(Wycena!$C$45,Mapping!$EZ$3:$FC$6,4,1),0)+IFERROR(VLOOKUP(Wycena!$C$49,Mapping!$EZ$3:$FC$6,4,1),0))*HX5</f>
        <v>100</v>
      </c>
      <c r="HZ5">
        <v>200</v>
      </c>
      <c r="IA5">
        <f>(1+IFERROR(VLOOKUP(Wycena!$C$45,Mapping!$EZ$3:$FC$6,4,1),0)+IFERROR(VLOOKUP(Wycena!$C$49,Mapping!$EZ$3:$FC$6,4,1),0))*HZ5</f>
        <v>200</v>
      </c>
      <c r="IB5" t="str">
        <f>IF(OR(AND(Wycena!$C$20="-",Wycena!$C$21&lt;&gt;"-"),AND(Wycena!$C$21="-",Wycena!$C$20&lt;&gt;"-")),HW5,"")</f>
        <v/>
      </c>
      <c r="IC5" t="str">
        <f t="array" ref="IC5">IF(ROWS($IB$3:IB5)&gt;(ROWS($IB$3:$IB$9)-COUNTBLANK($IB$3:$IB$9)),"",INDEX($IB$3:$IB$9,SMALL(IF($IB$3:$IB$9&lt;&gt;"",ROW($IB$3:$IB$9)-2),ROWS($IB$3:IB5))))</f>
        <v>Z dwóch stron skrzydła</v>
      </c>
      <c r="IE5" t="s">
        <v>470</v>
      </c>
      <c r="IF5">
        <v>150</v>
      </c>
      <c r="IH5" t="s">
        <v>535</v>
      </c>
      <c r="II5" s="8">
        <v>350</v>
      </c>
      <c r="IK5" t="s">
        <v>545</v>
      </c>
      <c r="IL5">
        <v>400</v>
      </c>
      <c r="IN5" t="s">
        <v>547</v>
      </c>
      <c r="IO5">
        <v>200</v>
      </c>
      <c r="IW5" s="11">
        <v>0.02</v>
      </c>
      <c r="IY5" s="8">
        <v>300</v>
      </c>
      <c r="JA5" s="11">
        <v>0.23</v>
      </c>
    </row>
    <row r="6" spans="1:266" x14ac:dyDescent="0.35">
      <c r="A6" t="s">
        <v>81</v>
      </c>
      <c r="B6">
        <v>20</v>
      </c>
      <c r="C6">
        <v>20</v>
      </c>
      <c r="D6">
        <v>20</v>
      </c>
      <c r="E6">
        <v>20</v>
      </c>
      <c r="F6">
        <v>34</v>
      </c>
      <c r="G6">
        <v>34</v>
      </c>
      <c r="H6">
        <f t="shared" si="0"/>
        <v>36</v>
      </c>
      <c r="I6">
        <f t="shared" si="1"/>
        <v>36</v>
      </c>
      <c r="J6" t="s">
        <v>394</v>
      </c>
      <c r="K6">
        <v>6</v>
      </c>
      <c r="M6" t="str">
        <f ca="1">IFERROR(VLOOKUP(Wycena!$C$5,OFFSET(SKU!$B$1,MATCH(Wycena!$C$5,SKU!$B$1:$B$743,0)+2,0,1000,6),5,0),"")</f>
        <v/>
      </c>
      <c r="N6" s="8" t="str">
        <f ca="1">IFERROR(VLOOKUP(Wycena!$C$5,OFFSET(SKU!$B$1,MATCH(Wycena!$C$5,SKU!$B$1:$B$743,0)+2,0,1000,6),2,0)-VLOOKUP(Wycena!$C$5,SKU!$B$1:$C$743,2,0),"")</f>
        <v/>
      </c>
      <c r="O6" t="str" cm="1">
        <f t="array" aca="1" ref="O6" ca="1">IF(ROWS($M$3:M6)&gt;(ROWS($M$3:$M$10)-COUNTBLANK($M$3:$M$10)),"",INDEX($M$3:$M$10,SMALL(IF($M$3:$M$10&lt;&gt;"",ROW($M$3:$M$10)-2),ROWS($M$3:M6))))</f>
        <v/>
      </c>
      <c r="Q6" t="s">
        <v>266</v>
      </c>
      <c r="R6">
        <v>900</v>
      </c>
      <c r="S6" t="e">
        <f>IF(VLOOKUP(Wycena!$C$5,SKU!$B$1:$D$743,3,0)="Płytowe",Q6,"")</f>
        <v>#N/A</v>
      </c>
      <c r="T6" t="e" cm="1">
        <f t="array" ref="T6">IF(ROWS($S$3:S6)&gt;(ROWS($S$3:$S$8)-COUNTBLANK($S$3:$S$8)),"",INDEX($S$3:$S$8,SMALL(IF($S$3:$S$8&lt;&gt;"",ROW($S$3:$S$8)-2),ROWS($S$3:S6))))</f>
        <v>#N/A</v>
      </c>
      <c r="V6" t="s">
        <v>273</v>
      </c>
      <c r="W6">
        <v>500</v>
      </c>
      <c r="Y6" t="s">
        <v>277</v>
      </c>
      <c r="Z6">
        <v>0</v>
      </c>
      <c r="AA6" t="str">
        <f t="shared" si="2"/>
        <v>Dąb bagienny</v>
      </c>
      <c r="AB6" t="str">
        <f>IF((VLOOKUP(Wycena!$C$7,Mapping!$Q$15:$R$20,2,0))="tak","",AA6)</f>
        <v>Dąb bagienny</v>
      </c>
      <c r="AC6" t="e" cm="1">
        <f t="array" ref="AC6">IF(ROWS($AB$3:AB6)&gt;(ROWS($AB$3:$AB$229)-COUNTBLANK($AB$3:$AB$229)),"",INDEX($AB$3:$AB$229,SMALL(IF($AB$3:$AB$229&lt;&gt;"",ROW($AB$3:$AB$229)-2),ROWS($AB$3:AB6))))</f>
        <v>#N/A</v>
      </c>
      <c r="AI6" t="e">
        <f>IF(VLOOKUP(Wycena!$C$5,SKU!$B$1:$I$743,8,0)&gt;0,"Węgiel drzewny","")</f>
        <v>#N/A</v>
      </c>
      <c r="AJ6" t="e">
        <f>VLOOKUP(Wycena!$C$5,SKU!$B$1:$I$743,8,0)</f>
        <v>#N/A</v>
      </c>
      <c r="AK6" t="e" cm="1">
        <f t="array" ref="AK6">IF(ROWS($AI$3:AI6)&gt;(ROWS($AI$3:$AI$7)-COUNTBLANK($AI$3:$AI$7)),"",INDEX($AI$3:$AI$7,SMALL(IF($AI$3:$AI$7&lt;&gt;"",ROW($AI$3:$AI$7)-2),ROWS($AI$3:AI6))))</f>
        <v>#N/A</v>
      </c>
      <c r="AM6" t="s">
        <v>263</v>
      </c>
      <c r="AN6" t="s">
        <v>263</v>
      </c>
      <c r="AO6" t="s">
        <v>263</v>
      </c>
      <c r="AP6" t="s">
        <v>263</v>
      </c>
      <c r="AR6" t="s">
        <v>263</v>
      </c>
      <c r="AS6" t="s">
        <v>263</v>
      </c>
      <c r="AT6" t="s">
        <v>263</v>
      </c>
      <c r="AU6" t="s">
        <v>263</v>
      </c>
      <c r="AV6" t="s">
        <v>263</v>
      </c>
      <c r="AX6">
        <v>75</v>
      </c>
      <c r="AY6">
        <v>0</v>
      </c>
      <c r="AZ6">
        <v>0</v>
      </c>
      <c r="BA6">
        <f>IF(Wycena!$C$16=78,Mapping!AY6,AZ6)</f>
        <v>0</v>
      </c>
      <c r="BD6">
        <v>183</v>
      </c>
      <c r="BE6">
        <v>0</v>
      </c>
      <c r="BF6">
        <v>0</v>
      </c>
      <c r="BG6">
        <f>IF(Wycena!$C$16=78,Mapping!BE6,BF6)</f>
        <v>0</v>
      </c>
      <c r="BK6" t="s">
        <v>315</v>
      </c>
      <c r="BL6" t="str">
        <f>IF(Wycena!$C$14="Bezprzylgowe Glass","",BK6)</f>
        <v>Prawe do wewnątrz</v>
      </c>
      <c r="BM6" t="str" cm="1">
        <f t="array" ref="BM6">IF(ROWS($BL$3:BL6)&gt;(ROWS($BL$3:$BL$6)-COUNTBLANK($BL$3:$BL$6)),"",INDEX($BL$3:$BL$6,SMALL(IF($BL$3:$BL$6&lt;&gt;"",ROW($BL$3:$BL$6)-2),ROWS($BL$3:BL6))))</f>
        <v>Prawe do wewnątrz</v>
      </c>
      <c r="BO6" t="s">
        <v>822</v>
      </c>
      <c r="BP6" t="e">
        <f>IF(VLOOKUP(Wycena!$C$5,SKU!$B$1:$D$743,3,0)="Płytowe","",BO6)</f>
        <v>#N/A</v>
      </c>
      <c r="BQ6" t="e">
        <f>BP6</f>
        <v>#N/A</v>
      </c>
      <c r="BR6" t="e">
        <f>IF(Wycena!$C$14="Bezprzylgowe Glass","",BQ6)</f>
        <v>#N/A</v>
      </c>
      <c r="BS6" t="e">
        <f t="array" ref="BS6">IF(ROWS($BR$3:BR6)&gt;(ROWS($BR$3:$BR$8)-COUNTBLANK($BR$3:$BR$8)),"",INDEX($BR$3:$BR$8,SMALL(IF($BR$3:$BR$8&lt;&gt;"",ROW($BR$3:$BR$8)-2),ROWS($BR$3:BR6))))</f>
        <v>#N/A</v>
      </c>
      <c r="BU6" t="s">
        <v>778</v>
      </c>
      <c r="BV6" s="8" t="e">
        <f>((2400+IF(Wycena!$F$9&lt;&gt;0,200,0))*(1+IFERROR(VLOOKUP(Wycena!$C$45,Mapping!$EZ$3:$FC$6,4,1),0)+IFERROR(VLOOKUP(Wycena!$C$49,Mapping!$EZ$3:$FC$6,4,1),0))*(1+VLOOKUP(Wycena!$C$54,Mapping!$BW$3:$BX$6,2,1)))</f>
        <v>#N/A</v>
      </c>
      <c r="BW6">
        <v>100.0001</v>
      </c>
      <c r="BY6" t="str">
        <f>IF(Wycena!$C$14="Bezprzylgowe Glass","",BU6)</f>
        <v>W łuku</v>
      </c>
      <c r="BZ6" t="str">
        <f t="array" ref="BZ6">IF(ROWS($BY$3:BY6)&gt;(ROWS($BY$3:$BY$6)-COUNTBLANK($BY$3:$BY$6)),"",INDEX($BY$3:$BY$6,SMALL(IF($BY$3:$BY$6&lt;&gt;"",ROW($BY$3:$BY$6)-2),ROWS($BY$3:BY6))))</f>
        <v>W łuku</v>
      </c>
      <c r="CA6" t="s">
        <v>43</v>
      </c>
      <c r="CB6">
        <v>50</v>
      </c>
      <c r="CC6" t="e">
        <f>CB6*(1+IFERROR(VLOOKUP(Wycena!$C$45,Mapping!$EZ$3:$FC$6,4,1),0)+IFERROR(VLOOKUP(Wycena!$C$49,Mapping!$EZ$3:$FC$6,4,1),0))*(1+VLOOKUP(Wycena!$C$54,Mapping!$BW$3:$BX$6,2,1))</f>
        <v>#N/A</v>
      </c>
      <c r="CD6" t="s">
        <v>8</v>
      </c>
      <c r="CE6" t="str">
        <f>IF(Wycena!$C$22="-","",CD6)</f>
        <v/>
      </c>
      <c r="CF6" t="str" cm="1">
        <f t="array" ref="CF6">IF(ROWS($CE$3:CE6)&gt;(ROWS($CE$3:$CE$13)-COUNTBLANK($CE$3:$CE$13)),"",INDEX($CE$3:$CE$13,SMALL(IF($CE$3:$CE$13&lt;&gt;"",ROW($CE$3:$CE$13)-2),ROWS($CE$3:CE6))))</f>
        <v/>
      </c>
      <c r="CO6" t="s">
        <v>328</v>
      </c>
      <c r="CP6">
        <f>1200+((IF(OR(Wycena!$C$20="W ościeżnicy nowoczesna",Wycena!$C$20="W ościeżnicy tradycyjna"),1,0))+(IF(OR(Wycena!$C$21="W ościeżnicy nowoczesna",Wycena!$C$21="W ościeżnicy tradycyjna"),1,0)))*600</f>
        <v>1200</v>
      </c>
      <c r="CQ6" t="str">
        <f>IF(Wycena!$C$25="Krosnowa","",CO6)</f>
        <v>Przy skrzydle i ościeżnicy od zewnątrz</v>
      </c>
      <c r="CR6" t="str">
        <f>IF(Wycena!$C$14="Bezprzylgowe Glass","",CQ6)</f>
        <v>Przy skrzydle i ościeżnicy od zewnątrz</v>
      </c>
      <c r="CS6" t="str">
        <f>IF(OR(Wycena!$C$20="W ościeżnicy nowoczesna",Wycena!$C$20="W ościeżnicy tradycyjna",Wycena!$C$21="W ościeżnicy nowoczesna",Wycena!$C$21="W ościeżnicy tradycyjna"),CR6,"")</f>
        <v/>
      </c>
      <c r="CT6" t="str">
        <f>CS6</f>
        <v/>
      </c>
      <c r="CU6" t="str" cm="1">
        <f t="array" ref="CU6">IF(ROWS($CT$3:CT6)&gt;(ROWS($CT$3:$CT$11)-COUNTBLANK($CT$3:$CT$11)),"",INDEX($CT$3:$CT$11,SMALL(IF($CT$3:$CT$11&lt;&gt;"",ROW($CT$3:$CT$11)-2),ROWS($CT$3:CT6))))</f>
        <v/>
      </c>
      <c r="DA6">
        <v>9</v>
      </c>
      <c r="DB6">
        <f>IF(DA6&gt;=VLOOKUP(Wycena!$C$14,Mapping!$CY$3:$CZ$5,2,0),DA6,"")</f>
        <v>9</v>
      </c>
      <c r="DC6" cm="1">
        <f t="array" ref="DC6">IF(ROWS($DB$3:DB6)&gt;(ROWS($DB$3:$DB$28)-COUNTBLANK($DB$3:$DB$28)),"",INDEX($DB$3:$DB$28,SMALL(IF($DB$3:$DB$28&lt;&gt;"",ROW($DB$3:$DB$28)-2),ROWS($DB$3:DB6))))</f>
        <v>9</v>
      </c>
      <c r="DK6">
        <v>9</v>
      </c>
      <c r="DL6">
        <f>IF(DK6&gt;=VLOOKUP(Wycena!$C$14,Mapping!$DG$3:$DH$5,2,0),DK6,"")</f>
        <v>9</v>
      </c>
      <c r="DM6" cm="1">
        <f t="array" ref="DM6">IF(ROWS($DL$3:DL6)&gt;(ROWS($DL$3:$DL$28)-COUNTBLANK($DL$3:$DL$28)),"",INDEX($DL$3:$DL$28,SMALL(IF($DL$3:$DL$28&lt;&gt;"",ROW($DL$3:$DL$28)-2),ROWS($DL$3:DL6))))</f>
        <v>9</v>
      </c>
      <c r="DN6">
        <f>IF(DK6&gt;=VLOOKUP(Wycena!$C$14,Mapping!$DG$3:$DI$5,3,0),DK6,"")</f>
        <v>9</v>
      </c>
      <c r="DO6" cm="1">
        <f t="array" ref="DO6">IF(ROWS($DN$3:DN6)&gt;(ROWS($DN$3:$DN$28)-COUNTBLANK($DN$3:$DN$28)),"",INDEX($DN$3:$DN$28,SMALL(IF($DN$3:$DN$28&lt;&gt;"",ROW($DN$3:$DN$28)-2),ROWS($DN$3:DN6))))</f>
        <v>9</v>
      </c>
      <c r="DS6">
        <v>9</v>
      </c>
      <c r="DT6" t="str">
        <f>IF(DS6&gt;=VLOOKUP(Wycena!$C$25,Mapping!$DQ$3:$DR$4,2,0),DS6,"")</f>
        <v/>
      </c>
      <c r="DU6" cm="1">
        <f t="array" ref="DU6">IF(ROWS($DT$3:DT6)&gt;(ROWS($DT$3:$DT$28)-COUNTBLANK($DT$3:$DT$28)),"",INDEX($DT$3:$DT$28,SMALL(IF($DT$3:$DT$28&lt;&gt;"",ROW($DT$3:$DT$28)-2),ROWS($DT$3:DT6))))</f>
        <v>13</v>
      </c>
      <c r="DW6">
        <v>3</v>
      </c>
      <c r="EM6">
        <v>100</v>
      </c>
      <c r="EN6">
        <v>100.001</v>
      </c>
      <c r="EO6">
        <v>900</v>
      </c>
      <c r="EP6" t="str">
        <f>IF(OR(Wycena!$C$20&lt;&gt;"-",Wycena!$C$21&lt;&gt;"-",),EM6,"")</f>
        <v/>
      </c>
      <c r="EQ6" t="str" cm="1">
        <f t="array" ref="EQ6">IF(ROWS($EP$3:EP6)&gt;(ROWS($EP$3:$EP$8)-COUNTBLANK($EP$3:$EP$8)),"",INDEX($EP$3:$EP$8,SMALL(IF($EP$3:$EP$8&lt;&gt;"",ROW($EP$3:$EP$8)-2),ROWS($EP$3:EP6))))</f>
        <v/>
      </c>
      <c r="ES6">
        <v>224</v>
      </c>
      <c r="ET6">
        <v>224.001</v>
      </c>
      <c r="EU6" s="11">
        <v>0.3</v>
      </c>
      <c r="EV6" t="str">
        <f>IF(IF(Wycena!$C$22&lt;&gt;"-",ES6,"")&lt;=Wycena!$C$18-Wycena!$C$27,ES6,"")</f>
        <v/>
      </c>
      <c r="EW6" t="str" cm="1">
        <f t="array" ref="EW6">IF(ROWS($EV$3:EV6)&gt;(ROWS($EV$3:$EV$8)-COUNTBLANK($EV$3:$EV$8)),"",INDEX($EV$3:$EV$8,SMALL(IF($EV$3:$EV$8&lt;&gt;"",ROW($EV$3:$EV$8)-2),ROWS($EV$3:EV6))))</f>
        <v/>
      </c>
      <c r="EY6">
        <v>100</v>
      </c>
      <c r="EZ6">
        <v>100.001</v>
      </c>
      <c r="FE6" t="s">
        <v>8</v>
      </c>
      <c r="FF6">
        <v>250</v>
      </c>
      <c r="FG6" t="s">
        <v>8</v>
      </c>
      <c r="FH6" t="str">
        <f>IF(Wycena!$C$20="-","",FG6)</f>
        <v/>
      </c>
      <c r="FI6" t="str">
        <f t="array" ref="FI6">IF(ROWS($FH$3:FH6)&gt;(ROWS($FH$3:$FH$14)-COUNTBLANK($FH$3:$FH$14)),"",INDEX($FH$3:$FH$14,SMALL(IF($FH$3:$FH$14&lt;&gt;"",ROW($FH$3:$FH$14)-2),ROWS($FH$3:FH6))))</f>
        <v/>
      </c>
      <c r="FJ6" t="s">
        <v>8</v>
      </c>
      <c r="FK6" t="str">
        <f>IF(Wycena!$C$21="-","",FJ6)</f>
        <v/>
      </c>
      <c r="FL6" t="str">
        <f t="array" ref="FL6">IF(ROWS($FK$3:FK6)&gt;(ROWS($FK$3:$FK$14)-COUNTBLANK($FK$3:$FK$14)),"",INDEX($FK$3:$FK$14,SMALL(IF($FK$3:$FK$14&lt;&gt;"",ROW($FK$3:$FK$14)-2),ROWS($FK$3:FK6))))</f>
        <v/>
      </c>
      <c r="FN6" s="16">
        <v>100</v>
      </c>
      <c r="FO6">
        <v>3</v>
      </c>
      <c r="FP6" t="str">
        <f>IF(Wycena!$C$20="-","",FO6)</f>
        <v/>
      </c>
      <c r="FQ6" t="str" cm="1">
        <f t="array" ref="FQ6">IF(ROWS($FP$3:FP6)&gt;(ROWS($FP$3:$FP$23)-COUNTBLANK($FP$3:$FP$23)),"",INDEX($FP$3:$FP$23,SMALL(IF($FP$3:$FP$23&lt;&gt;"",ROW($FP$3:$FP$23)-2),ROWS($FP$3:FP6))))</f>
        <v/>
      </c>
      <c r="FR6" t="str">
        <f>IF(Wycena!$C$21="-","",FO6)</f>
        <v/>
      </c>
      <c r="FS6" t="str" cm="1">
        <f t="array" ref="FS6">IF(ROWS($FR$3:FR6)&gt;(ROWS($FR$3:$FR$23)-COUNTBLANK($FR$3:$FR$23)),"",INDEX($FR$3:$FR$23,SMALL(IF($FR$3:$FR$23&lt;&gt;"",ROW($FR$3:$FR$23)-2),ROWS($FR$3:FR6))))</f>
        <v/>
      </c>
      <c r="FT6" t="str">
        <f>IF(Wycena!$C$22="-","",FO6)</f>
        <v/>
      </c>
      <c r="FU6" t="str">
        <f t="array" ref="FU6">IF(ROWS($FT$3:FT6)&gt;(ROWS($FT$3:$FT$23)-COUNTBLANK($FT$3:$FT$23)),"",INDEX($FT$3:$FT$23,SMALL(IF($FT$3:$FT$23&lt;&gt;"",ROW($FT$3:$FT$23)-2),ROWS($FT$3:FT6))))</f>
        <v/>
      </c>
      <c r="FW6" t="s">
        <v>429</v>
      </c>
      <c r="FX6" s="8">
        <v>2500</v>
      </c>
      <c r="FY6" t="str">
        <f ca="1">IFERROR(VLOOKUP(Wycena!C59,OFFSET(FW15,MATCH(Wycena!C59,FW15:FW39,0)+2,0,15,2),2,0),"")</f>
        <v>Automat 3-punktowy z gałką</v>
      </c>
      <c r="FZ6" t="str" cm="1">
        <f t="array" aca="1" ref="FZ6" ca="1">IF(ROWS($FY$3:FY6)&gt;(ROWS($FY$3:$FY$10)-COUNTBLANK($FY$3:$FY$10)),"",INDEX($FY$3:$FY$10,SMALL(IF($FY$3:$FY$10&lt;&gt;"",ROW($FY$3:$FY$10)-2),ROWS($FY$3:FY6))))</f>
        <v>Automat 3-punktowy z gałką</v>
      </c>
      <c r="GA6" t="s">
        <v>435</v>
      </c>
      <c r="GB6">
        <v>350</v>
      </c>
      <c r="GC6" t="s">
        <v>435</v>
      </c>
      <c r="GD6" t="str">
        <f t="shared" si="3"/>
        <v>Klamka Hoppe Bezpieczna</v>
      </c>
      <c r="GJ6" t="str">
        <f>IF((HLOOKUP(VLOOKUP(Wycena!$C$59,Mapping!$GI$35:$GJ$43,2,0),$GD$1:$GI$33,2+GK6))=0,"",(HLOOKUP(VLOOKUP(Wycena!$C$59,Mapping!$GI$35:$GJ$43,2,0),$GD$1:$GI$33,2+GK6)))</f>
        <v>Klamka Hoppe Bezpieczna</v>
      </c>
      <c r="GK6">
        <v>4</v>
      </c>
      <c r="GL6" t="e">
        <f t="array" ref="GL6">IF(ROWS($GJ$3:GJ6)&gt;(ROWS($GJ$3:$GJ$33)-COUNTBLANK($GJ$3:$GJ$33)),"",INDEX($GJ$3:$GJ$33,SMALL(IF($GJ$3:$GJ$33&lt;&gt;"",ROW($GJ$3:$GJ$33)-2),ROWS($GJ$3:GJ6))))</f>
        <v>#N/A</v>
      </c>
      <c r="GM6" t="s">
        <v>434</v>
      </c>
      <c r="GN6" t="s">
        <v>466</v>
      </c>
      <c r="GO6" t="str">
        <f ca="1">IFERROR(VLOOKUP(Wycena!C61,OFFSET(GM2,MATCH(Wycena!C61,$GM$2:$GM$98,0)+2,0,100,2),2,0),"")</f>
        <v/>
      </c>
      <c r="GP6" t="str">
        <f t="array" aca="1" ref="GP6" ca="1">IF(ROWS($GO$3:GO6)&gt;(ROWS($GO$3:$GO$6)-COUNTBLANK($GO$3:$GO$6)),"",INDEX($GO$3:$GO$6,SMALL(IF($GO$3:$GO$6&lt;&gt;"",ROW($GO$3:$GO$6)-2),ROWS($GO$3:GO6))))</f>
        <v/>
      </c>
      <c r="GQ6" t="str">
        <f>IFERROR(IF(FIND("Antaba M",Wycena!$C$61)&gt;0,120,""),"")</f>
        <v/>
      </c>
      <c r="GR6" t="str">
        <f t="array" ref="GR6">IF(ROWS($GQ$3:GQ6)&gt;(ROWS($GQ$3:$GQ$9)-COUNTBLANK($GQ$3:$GQ$9)),"",INDEX($GQ$3:$GQ$9,SMALL(IF($GQ$3:$GQ$9&lt;&gt;"",ROW($GQ$3:$GQ$9)-2),ROWS($GQ$3:GQ6))))</f>
        <v/>
      </c>
      <c r="GS6" t="s">
        <v>555</v>
      </c>
      <c r="GT6">
        <f>350-IF(Wycena!C59=Mapping!FY31,350,0)</f>
        <v>350</v>
      </c>
      <c r="GU6" t="str">
        <f>IF(Wycena!$C$59=Mapping!FW6,"",IF(Wycena!$C$59=Mapping!FW7,GS6,GS6))</f>
        <v>Klasy C patyna</v>
      </c>
      <c r="GV6" t="str">
        <f t="array" ref="GV6">IF(ROWS($GU$3:GU6)&gt;(ROWS($GU$3:$GU$8)-COUNTBLANK($GU$3:$GU$8)),"",INDEX($GU$3:$GU$8,SMALL(IF($GU$3:$GU$8&lt;&gt;"",ROW($GU$3:$GU$8)-2),ROWS($GU$3:GU6))))</f>
        <v>Klasy C patyna</v>
      </c>
      <c r="GY6" t="s">
        <v>263</v>
      </c>
      <c r="GZ6" t="s">
        <v>263</v>
      </c>
      <c r="HA6" t="s">
        <v>263</v>
      </c>
      <c r="HF6" t="s">
        <v>500</v>
      </c>
      <c r="HG6">
        <v>1200</v>
      </c>
      <c r="HH6">
        <f>IF(Wycena!$C$59=Mapping!$HB$31,-400,0)+HG6</f>
        <v>1200</v>
      </c>
      <c r="HI6" t="str">
        <f>IF(Wycena!$C$6="Brak (pełne)","",HF6)</f>
        <v>W skrzydle i dostawkach</v>
      </c>
      <c r="HJ6" t="str">
        <f>IF(AND(Wycena!$C$20&lt;&gt;"-",Wycena!$C$21&lt;&gt;"-"),HI6,"")</f>
        <v/>
      </c>
      <c r="HK6" t="str" cm="1">
        <f t="array" ref="HK6">IF(ROWS($HJ$3:HJ6)&gt;(ROWS($HJ$3:$HJ$13)-COUNTBLANK($HJ$3:$HJ$13)),"",INDEX($HJ$3:$HJ$13,SMALL(IF($HJ$3:$HJ$13&lt;&gt;"",ROW($HJ$3:$HJ$13)-2),ROWS($HJ$3:HJ6))))</f>
        <v/>
      </c>
      <c r="HM6" t="s">
        <v>263</v>
      </c>
      <c r="HN6" t="s">
        <v>263</v>
      </c>
      <c r="HO6" t="s">
        <v>263</v>
      </c>
      <c r="HP6" t="s">
        <v>263</v>
      </c>
      <c r="HQ6" t="s">
        <v>263</v>
      </c>
      <c r="HS6">
        <v>8</v>
      </c>
      <c r="HT6">
        <v>130</v>
      </c>
      <c r="HU6">
        <f>(1+IFERROR(VLOOKUP(Wycena!$C$45,Mapping!$EZ$3:$FC$6,4,1),0)+IFERROR(VLOOKUP(Wycena!$C$49,Mapping!$EZ$3:$FC$6,4,1),0))*HT6</f>
        <v>130</v>
      </c>
      <c r="HW6" t="s">
        <v>525</v>
      </c>
      <c r="HX6">
        <v>100</v>
      </c>
      <c r="HY6">
        <f>(1+IFERROR(VLOOKUP(Wycena!$C$45,Mapping!$EZ$3:$FC$6,4,1),0)+IFERROR(VLOOKUP(Wycena!$C$49,Mapping!$EZ$3:$FC$6,4,1),0))*HX6</f>
        <v>100</v>
      </c>
      <c r="HZ6">
        <v>200</v>
      </c>
      <c r="IA6">
        <f>(1+IFERROR(VLOOKUP(Wycena!$C$45,Mapping!$EZ$3:$FC$6,4,1),0)+IFERROR(VLOOKUP(Wycena!$C$49,Mapping!$EZ$3:$FC$6,4,1),0))*HZ6</f>
        <v>200</v>
      </c>
      <c r="IB6" t="str">
        <f>IF(AND(Wycena!$C$20&lt;&gt;"-",Wycena!$C$21&lt;&gt;"-"),HW6,"")</f>
        <v/>
      </c>
      <c r="IC6" t="str">
        <f t="array" ref="IC6">IF(ROWS($IB$3:IB6)&gt;(ROWS($IB$3:$IB$9)-COUNTBLANK($IB$3:$IB$9)),"",INDEX($IB$3:$IB$9,SMALL(IF($IB$3:$IB$9&lt;&gt;"",ROW($IB$3:$IB$9)-2),ROWS($IB$3:IB6))))</f>
        <v/>
      </c>
      <c r="IE6" t="s">
        <v>469</v>
      </c>
      <c r="IF6">
        <v>150</v>
      </c>
      <c r="IH6" t="s">
        <v>536</v>
      </c>
      <c r="II6" s="8">
        <v>350</v>
      </c>
      <c r="IW6" s="11">
        <v>0.03</v>
      </c>
      <c r="IY6" s="8">
        <v>400</v>
      </c>
      <c r="JC6" t="s">
        <v>18</v>
      </c>
      <c r="JD6" s="9" t="s">
        <v>15</v>
      </c>
      <c r="JF6" t="s">
        <v>263</v>
      </c>
    </row>
    <row r="7" spans="1:266" x14ac:dyDescent="0.35">
      <c r="A7" t="s">
        <v>82</v>
      </c>
      <c r="B7">
        <v>20</v>
      </c>
      <c r="C7">
        <v>20</v>
      </c>
      <c r="D7">
        <v>20</v>
      </c>
      <c r="E7">
        <v>20</v>
      </c>
      <c r="F7">
        <v>34</v>
      </c>
      <c r="G7">
        <v>34</v>
      </c>
      <c r="H7">
        <f t="shared" si="0"/>
        <v>36</v>
      </c>
      <c r="I7">
        <f t="shared" si="1"/>
        <v>36</v>
      </c>
      <c r="J7" t="s">
        <v>392</v>
      </c>
      <c r="K7">
        <v>8</v>
      </c>
      <c r="M7" t="str">
        <f ca="1">IFERROR(VLOOKUP(Wycena!$C$5,OFFSET(SKU!$B$1,MATCH(Wycena!$C$5,SKU!$B$1:$B$743,0)+3,0,1000,6),5,0),"")</f>
        <v/>
      </c>
      <c r="N7" s="8" t="str">
        <f ca="1">IFERROR(VLOOKUP(Wycena!$C$5,OFFSET(SKU!$B$1,MATCH(Wycena!$C$5,SKU!$B$1:$B$743,0)+3,0,1000,6),2,0)-VLOOKUP(Wycena!$C$5,SKU!$B$1:$C$743,2,0),"")</f>
        <v/>
      </c>
      <c r="O7" t="str" cm="1">
        <f t="array" aca="1" ref="O7" ca="1">IF(ROWS($M$3:M7)&gt;(ROWS($M$3:$M$10)-COUNTBLANK($M$3:$M$10)),"",INDEX($M$3:$M$10,SMALL(IF($M$3:$M$10&lt;&gt;"",ROW($M$3:$M$10)-2),ROWS($M$3:M7))))</f>
        <v/>
      </c>
      <c r="Q7" t="s">
        <v>267</v>
      </c>
      <c r="R7">
        <v>1200</v>
      </c>
      <c r="S7" t="e">
        <f>IF(VLOOKUP(Wycena!$C$5,SKU!$B$1:$D$743,3,0)="Płytowe",Q7,"")</f>
        <v>#N/A</v>
      </c>
      <c r="T7" t="e" cm="1">
        <f t="array" ref="T7">IF(ROWS($S$3:S7)&gt;(ROWS($S$3:$S$8)-COUNTBLANK($S$3:$S$8)),"",INDEX($S$3:$S$8,SMALL(IF($S$3:$S$8&lt;&gt;"",ROW($S$3:$S$8)-2),ROWS($S$3:S7))))</f>
        <v>#N/A</v>
      </c>
      <c r="Y7" t="s">
        <v>278</v>
      </c>
      <c r="Z7">
        <v>500</v>
      </c>
      <c r="AA7" t="e">
        <f>IF(VLOOKUP(Wycena!$C$5,SKU!$B$1:$D$743,3,0)="Płytowe",Y7,"")</f>
        <v>#N/A</v>
      </c>
      <c r="AB7" t="e">
        <f>AA7</f>
        <v>#N/A</v>
      </c>
      <c r="AC7" t="e" cm="1">
        <f t="array" ref="AC7">IF(ROWS($AB$3:AB7)&gt;(ROWS($AB$3:$AB$229)-COUNTBLANK($AB$3:$AB$229)),"",INDEX($AB$3:$AB$229,SMALL(IF($AB$3:$AB$229&lt;&gt;"",ROW($AB$3:$AB$229)-2),ROWS($AB$3:AB7))))</f>
        <v>#N/A</v>
      </c>
      <c r="AG7" t="e">
        <f t="array" ref="AG7">$AG$3:INDEX($AG$3:$AG$4,(ROWS($AE$3:$AE$4)-COUNTBLANK($AE$3:$AE$4)))</f>
        <v>#N/A</v>
      </c>
      <c r="AI7" t="e">
        <f>IF(VLOOKUP(Wycena!$C$5,SKU!$B$1:$I$743,8,0)&gt;0,"Złota patyna","")</f>
        <v>#N/A</v>
      </c>
      <c r="AJ7" t="e">
        <f>VLOOKUP(Wycena!$C$5,SKU!$B$1:$I$743,8,0)</f>
        <v>#N/A</v>
      </c>
      <c r="AK7" t="e" cm="1">
        <f t="array" ref="AK7">IF(ROWS($AI$3:AI7)&gt;(ROWS($AI$3:$AI$7)-COUNTBLANK($AI$3:$AI$7)),"",INDEX($AI$3:$AI$7,SMALL(IF($AI$3:$AI$7&lt;&gt;"",ROW($AI$3:$AI$7)-2),ROWS($AI$3:AI7))))</f>
        <v>#N/A</v>
      </c>
      <c r="AX7">
        <v>76</v>
      </c>
      <c r="AY7">
        <v>0</v>
      </c>
      <c r="AZ7">
        <v>0</v>
      </c>
      <c r="BA7">
        <f>IF(Wycena!$C$16=78,Mapping!AY7,AZ7)</f>
        <v>0</v>
      </c>
      <c r="BD7">
        <v>184</v>
      </c>
      <c r="BE7">
        <v>0</v>
      </c>
      <c r="BF7">
        <v>0</v>
      </c>
      <c r="BG7">
        <f>IF(Wycena!$C$16=78,Mapping!BE7,BF7)</f>
        <v>0</v>
      </c>
      <c r="BK7" t="s">
        <v>263</v>
      </c>
      <c r="BL7" t="s">
        <v>263</v>
      </c>
      <c r="BM7" t="s">
        <v>263</v>
      </c>
      <c r="BO7" t="s">
        <v>394</v>
      </c>
      <c r="BP7" t="s">
        <v>394</v>
      </c>
      <c r="BQ7" t="e">
        <f>IF(VLOOKUP(Wycena!C5,SKU!$B$1:$E$743,4,0)="Prestige Kamień","",BP7)</f>
        <v>#N/A</v>
      </c>
      <c r="BR7" t="e">
        <f>BQ7</f>
        <v>#N/A</v>
      </c>
      <c r="BS7" t="e">
        <f t="array" ref="BS7">IF(ROWS($BR$3:BR7)&gt;(ROWS($BR$3:$BR$8)-COUNTBLANK($BR$3:$BR$8)),"",INDEX($BR$3:$BR$8,SMALL(IF($BR$3:$BR$8&lt;&gt;"",ROW($BR$3:$BR$8)-2),ROWS($BR$3:BR7))))</f>
        <v>#N/A</v>
      </c>
      <c r="BU7" t="s">
        <v>263</v>
      </c>
      <c r="BY7" t="s">
        <v>263</v>
      </c>
      <c r="BZ7" t="s">
        <v>263</v>
      </c>
      <c r="CA7" t="s">
        <v>77</v>
      </c>
      <c r="CB7">
        <v>150</v>
      </c>
      <c r="CC7" t="e">
        <f>CB7*(1+IFERROR(VLOOKUP(Wycena!$C$45,Mapping!$EZ$3:$FC$6,4,1),0)+IFERROR(VLOOKUP(Wycena!$C$49,Mapping!$EZ$3:$FC$6,4,1),0))*(1+VLOOKUP(Wycena!$C$54,Mapping!$BW$3:$BX$6,2,1))</f>
        <v>#N/A</v>
      </c>
      <c r="CD7" t="s">
        <v>43</v>
      </c>
      <c r="CE7" t="str">
        <f>IF(Wycena!$C$22="-","",CD7)</f>
        <v/>
      </c>
      <c r="CF7" t="str" cm="1">
        <f t="array" ref="CF7">IF(ROWS($CE$3:CE7)&gt;(ROWS($CE$3:$CE$13)-COUNTBLANK($CE$3:$CE$13)),"",INDEX($CE$3:$CE$13,SMALL(IF($CE$3:$CE$13&lt;&gt;"",ROW($CE$3:$CE$13)-2),ROWS($CE$3:CE7))))</f>
        <v/>
      </c>
      <c r="CM7" t="str">
        <f t="array" ref="CM7">$CM$3:INDEX($CM$3:$CM$4,(ROWS($CL$3:$CL$4)-COUNTBLANK($CL$3:$CL$4)))</f>
        <v>Standardowa</v>
      </c>
      <c r="CO7" t="s">
        <v>329</v>
      </c>
      <c r="CP7">
        <f>1600+((IF(OR(Wycena!$C$20="W ościeżnicy nowoczesna",Wycena!$C$20="W ościeżnicy tradycyjna"),1,0))+(IF(OR(Wycena!$C$21="W ościeżnicy nowoczesna",Wycena!$C$21="W ościeżnicy tradycyjna"),1,0)))*800</f>
        <v>1600</v>
      </c>
      <c r="CQ7" t="str">
        <f>IF(Wycena!$C$25="Krosnowa","",CO7)</f>
        <v>Przy skrzydle i ościeżnicy z dwóch stron</v>
      </c>
      <c r="CR7" t="str">
        <f>IF(Wycena!$C$14="Bezprzylgowe Glass","",CQ7)</f>
        <v>Przy skrzydle i ościeżnicy z dwóch stron</v>
      </c>
      <c r="CS7" t="str">
        <f>IF(OR(Wycena!$C$20="W ościeżnicy nowoczesna",Wycena!$C$20="W ościeżnicy tradycyjna",Wycena!$C$21="W ościeżnicy nowoczesna",Wycena!$C$21="W ościeżnicy tradycyjna"),CR7,"")</f>
        <v/>
      </c>
      <c r="CT7" t="str">
        <f>CS7</f>
        <v/>
      </c>
      <c r="CU7" t="str" cm="1">
        <f t="array" ref="CU7">IF(ROWS($CT$3:CT7)&gt;(ROWS($CT$3:$CT$11)-COUNTBLANK($CT$3:$CT$11)),"",INDEX($CT$3:$CT$11,SMALL(IF($CT$3:$CT$11&lt;&gt;"",ROW($CT$3:$CT$11)-2),ROWS($CT$3:CT7))))</f>
        <v/>
      </c>
      <c r="CY7" s="10" t="s">
        <v>336</v>
      </c>
      <c r="CZ7" s="10" t="s">
        <v>350</v>
      </c>
      <c r="DA7">
        <v>10</v>
      </c>
      <c r="DB7">
        <f>IF(DA7&gt;=VLOOKUP(Wycena!$C$14,Mapping!$CY$3:$CZ$5,2,0),DA7,"")</f>
        <v>10</v>
      </c>
      <c r="DC7" cm="1">
        <f t="array" ref="DC7">IF(ROWS($DB$3:DB7)&gt;(ROWS($DB$3:$DB$28)-COUNTBLANK($DB$3:$DB$28)),"",INDEX($DB$3:$DB$28,SMALL(IF($DB$3:$DB$28&lt;&gt;"",ROW($DB$3:$DB$28)-2),ROWS($DB$3:DB7))))</f>
        <v>10</v>
      </c>
      <c r="DG7" s="10" t="s">
        <v>336</v>
      </c>
      <c r="DH7" s="10" t="s">
        <v>350</v>
      </c>
      <c r="DI7" s="10" t="s">
        <v>350</v>
      </c>
      <c r="DK7">
        <v>10</v>
      </c>
      <c r="DL7">
        <f>IF(DK7&gt;=VLOOKUP(Wycena!$C$14,Mapping!$DG$3:$DH$5,2,0),DK7,"")</f>
        <v>10</v>
      </c>
      <c r="DM7" cm="1">
        <f t="array" ref="DM7">IF(ROWS($DL$3:DL7)&gt;(ROWS($DL$3:$DL$28)-COUNTBLANK($DL$3:$DL$28)),"",INDEX($DL$3:$DL$28,SMALL(IF($DL$3:$DL$28&lt;&gt;"",ROW($DL$3:$DL$28)-2),ROWS($DL$3:DL7))))</f>
        <v>10</v>
      </c>
      <c r="DN7">
        <f>IF(DK7&gt;=VLOOKUP(Wycena!$C$14,Mapping!$DG$3:$DI$5,3,0),DK7,"")</f>
        <v>10</v>
      </c>
      <c r="DO7" cm="1">
        <f t="array" ref="DO7">IF(ROWS($DN$3:DN7)&gt;(ROWS($DN$3:$DN$28)-COUNTBLANK($DN$3:$DN$28)),"",INDEX($DN$3:$DN$28,SMALL(IF($DN$3:$DN$28&lt;&gt;"",ROW($DN$3:$DN$28)-2),ROWS($DN$3:DN7))))</f>
        <v>10</v>
      </c>
      <c r="DQ7" s="10" t="s">
        <v>339</v>
      </c>
      <c r="DR7" s="10" t="s">
        <v>353</v>
      </c>
      <c r="DS7">
        <v>10</v>
      </c>
      <c r="DT7" t="str">
        <f>IF(DS7&gt;=VLOOKUP(Wycena!$C$25,Mapping!$DQ$3:$DR$4,2,0),DS7,"")</f>
        <v/>
      </c>
      <c r="DU7" cm="1">
        <f t="array" ref="DU7">IF(ROWS($DT$3:DT7)&gt;(ROWS($DT$3:$DT$28)-COUNTBLANK($DT$3:$DT$28)),"",INDEX($DT$3:$DT$28,SMALL(IF($DT$3:$DT$28&lt;&gt;"",ROW($DT$3:$DT$28)-2),ROWS($DT$3:DT7))))</f>
        <v>14</v>
      </c>
      <c r="DW7">
        <v>4</v>
      </c>
      <c r="DY7" t="s">
        <v>359</v>
      </c>
      <c r="DZ7" t="s">
        <v>362</v>
      </c>
      <c r="EB7" t="s">
        <v>359</v>
      </c>
      <c r="EC7" t="s">
        <v>362</v>
      </c>
      <c r="EE7" t="str">
        <f t="array" ref="EE7">$EE$3:INDEX($EE$3:$EE$4,(ROWS($ED$3:$ED$4)-COUNTBLANK($ED$3:$ED$4)))</f>
        <v>-</v>
      </c>
      <c r="EG7" t="s">
        <v>359</v>
      </c>
      <c r="EH7" t="s">
        <v>362</v>
      </c>
      <c r="EJ7" t="s">
        <v>359</v>
      </c>
      <c r="EK7" t="s">
        <v>362</v>
      </c>
      <c r="EM7">
        <v>108</v>
      </c>
      <c r="EN7">
        <v>108.001</v>
      </c>
      <c r="EO7">
        <v>1500</v>
      </c>
      <c r="EP7" t="str">
        <f>IF(OR(Wycena!$C$20&lt;&gt;"-",Wycena!$C$21&lt;&gt;"-",),EM7,"")</f>
        <v/>
      </c>
      <c r="EQ7" t="str" cm="1">
        <f t="array" ref="EQ7">IF(ROWS($EP$3:EP7)&gt;(ROWS($EP$3:$EP$8)-COUNTBLANK($EP$3:$EP$8)),"",INDEX($EP$3:$EP$8,SMALL(IF($EP$3:$EP$8&lt;&gt;"",ROW($EP$3:$EP$8)-2),ROWS($EP$3:EP7))))</f>
        <v/>
      </c>
      <c r="ES7">
        <v>234</v>
      </c>
      <c r="ET7">
        <v>234.001</v>
      </c>
      <c r="EU7" s="11">
        <v>0.4</v>
      </c>
      <c r="EV7" t="str">
        <f>IF(IF(Wycena!$C$22&lt;&gt;"-",ES7,"")&lt;=Wycena!$C$18-Wycena!$C$27,ES7,"")</f>
        <v/>
      </c>
      <c r="EW7" t="str" cm="1">
        <f t="array" ref="EW7">IF(ROWS($EV$3:EV7)&gt;(ROWS($EV$3:$EV$8)-COUNTBLANK($EV$3:$EV$8)),"",INDEX($EV$3:$EV$8,SMALL(IF($EV$3:$EV$8&lt;&gt;"",ROW($EV$3:$EV$8)-2),ROWS($EV$3:EV7))))</f>
        <v/>
      </c>
      <c r="FE7" t="s">
        <v>43</v>
      </c>
      <c r="FF7">
        <v>250</v>
      </c>
      <c r="FG7" t="s">
        <v>43</v>
      </c>
      <c r="FH7" t="str">
        <f>IF(Wycena!$C$20="-","",FG7)</f>
        <v/>
      </c>
      <c r="FI7" t="str">
        <f t="array" ref="FI7">IF(ROWS($FH$3:FH7)&gt;(ROWS($FH$3:$FH$14)-COUNTBLANK($FH$3:$FH$14)),"",INDEX($FH$3:$FH$14,SMALL(IF($FH$3:$FH$14&lt;&gt;"",ROW($FH$3:$FH$14)-2),ROWS($FH$3:FH7))))</f>
        <v/>
      </c>
      <c r="FJ7" t="s">
        <v>43</v>
      </c>
      <c r="FK7" t="str">
        <f>IF(Wycena!$C$21="-","",FJ7)</f>
        <v/>
      </c>
      <c r="FL7" t="str">
        <f t="array" ref="FL7">IF(ROWS($FK$3:FK7)&gt;(ROWS($FK$3:$FK$14)-COUNTBLANK($FK$3:$FK$14)),"",INDEX($FK$3:$FK$14,SMALL(IF($FK$3:$FK$14&lt;&gt;"",ROW($FK$3:$FK$14)-2),ROWS($FK$3:FK7))))</f>
        <v/>
      </c>
      <c r="FO7">
        <v>4</v>
      </c>
      <c r="FP7" t="str">
        <f>IF(Wycena!$C$20="-","",FO7)</f>
        <v/>
      </c>
      <c r="FQ7" t="str" cm="1">
        <f t="array" ref="FQ7">IF(ROWS($FP$3:FP7)&gt;(ROWS($FP$3:$FP$23)-COUNTBLANK($FP$3:$FP$23)),"",INDEX($FP$3:$FP$23,SMALL(IF($FP$3:$FP$23&lt;&gt;"",ROW($FP$3:$FP$23)-2),ROWS($FP$3:FP7))))</f>
        <v/>
      </c>
      <c r="FR7" t="str">
        <f>IF(Wycena!$C$21="-","",FO7)</f>
        <v/>
      </c>
      <c r="FS7" t="str" cm="1">
        <f t="array" ref="FS7">IF(ROWS($FR$3:FR7)&gt;(ROWS($FR$3:$FR$23)-COUNTBLANK($FR$3:$FR$23)),"",INDEX($FR$3:$FR$23,SMALL(IF($FR$3:$FR$23&lt;&gt;"",ROW($FR$3:$FR$23)-2),ROWS($FR$3:FR7))))</f>
        <v/>
      </c>
      <c r="FT7" t="str">
        <f>IF(Wycena!$C$22="-","",FO7)</f>
        <v/>
      </c>
      <c r="FU7" t="str">
        <f t="array" ref="FU7">IF(ROWS($FT$3:FT7)&gt;(ROWS($FT$3:$FT$23)-COUNTBLANK($FT$3:$FT$23)),"",INDEX($FT$3:$FT$23,SMALL(IF($FT$3:$FT$23&lt;&gt;"",ROW($FT$3:$FT$23)-2),ROWS($FT$3:FT7))))</f>
        <v/>
      </c>
      <c r="FV7" t="s">
        <v>263</v>
      </c>
      <c r="FW7" t="s">
        <v>426</v>
      </c>
      <c r="FX7" s="8">
        <f>1100+IF(Wycena!$C$6="Brak (pełne)",0,400)</f>
        <v>1500</v>
      </c>
      <c r="FY7" t="str">
        <f ca="1">IFERROR(VLOOKUP(Wycena!C59,OFFSET(FW15,MATCH(Wycena!C59,FW15:FW39,0)+3,0,15,2),2,0),"")</f>
        <v>Automat 3-punktowy bez gałki</v>
      </c>
      <c r="FZ7" t="str" cm="1">
        <f t="array" aca="1" ref="FZ7" ca="1">IF(ROWS($FY$3:FY7)&gt;(ROWS($FY$3:$FY$10)-COUNTBLANK($FY$3:$FY$10)),"",INDEX($FY$3:$FY$10,SMALL(IF($FY$3:$FY$10&lt;&gt;"",ROW($FY$3:$FY$10)-2),ROWS($FY$3:FY7))))</f>
        <v>Automat 3-punktowy bez gałki</v>
      </c>
      <c r="GA7" t="s">
        <v>446</v>
      </c>
      <c r="GB7">
        <f>480-IFERROR(IF(Wycena!C59=Mapping!FY31,480,0),0)</f>
        <v>480</v>
      </c>
      <c r="GC7" t="s">
        <v>446</v>
      </c>
      <c r="GD7" t="str">
        <f t="shared" si="3"/>
        <v>Klamka AXA Diva Flex</v>
      </c>
      <c r="GH7" t="str">
        <f>GC7</f>
        <v>Klamka AXA Diva Flex</v>
      </c>
      <c r="GJ7" t="str">
        <f>IF((HLOOKUP(VLOOKUP(Wycena!$C$59,Mapping!$GI$35:$GJ$43,2,0),$GD$1:$GI$33,2+GK7))=0,"",(HLOOKUP(VLOOKUP(Wycena!$C$59,Mapping!$GI$35:$GJ$43,2,0),$GD$1:$GI$33,2+GK7)))</f>
        <v>Klamka AXA Diva Flex</v>
      </c>
      <c r="GK7">
        <v>5</v>
      </c>
      <c r="GL7" t="e">
        <f t="array" ref="GL7">IF(ROWS($GJ$3:GJ7)&gt;(ROWS($GJ$3:$GJ$33)-COUNTBLANK($GJ$3:$GJ$33)),"",INDEX($GJ$3:$GJ$33,SMALL(IF($GJ$3:$GJ$33&lt;&gt;"",ROW($GJ$3:$GJ$33)-2),ROWS($GJ$3:GJ7))))</f>
        <v>#N/A</v>
      </c>
      <c r="GM7" t="s">
        <v>434</v>
      </c>
      <c r="GN7" t="s">
        <v>468</v>
      </c>
      <c r="GO7" t="s">
        <v>263</v>
      </c>
      <c r="GP7" t="s">
        <v>263</v>
      </c>
      <c r="GQ7" t="str">
        <f>IFERROR(IF(FIND("Antaba M",Wycena!$C$61)&gt;0,150,""),"")</f>
        <v/>
      </c>
      <c r="GR7" t="str">
        <f t="array" ref="GR7">IF(ROWS($GQ$3:GQ7)&gt;(ROWS($GQ$3:$GQ$9)-COUNTBLANK($GQ$3:$GQ$9)),"",INDEX($GQ$3:$GQ$9,SMALL(IF($GQ$3:$GQ$9&lt;&gt;"",ROW($GQ$3:$GQ$9)-2),ROWS($GQ$3:GQ7))))</f>
        <v/>
      </c>
      <c r="GS7" t="s">
        <v>485</v>
      </c>
      <c r="GT7">
        <f>350-IF(Wycena!C59=Mapping!FY31,350,0)</f>
        <v>350</v>
      </c>
      <c r="GU7" t="str">
        <f>IF(Wycena!$C$59=Mapping!FW6,"",IF(Wycena!$C$59=Mapping!FW7,GS7,GS7))</f>
        <v>Klasy C satyna</v>
      </c>
      <c r="GV7" t="str">
        <f t="array" ref="GV7">IF(ROWS($GU$3:GU7)&gt;(ROWS($GU$3:$GU$8)-COUNTBLANK($GU$3:$GU$8)),"",INDEX($GU$3:$GU$8,SMALL(IF($GU$3:$GU$8&lt;&gt;"",ROW($GU$3:$GU$8)-2),ROWS($GU$3:GU7))))</f>
        <v>Klasy C satyna</v>
      </c>
      <c r="HD7" t="str">
        <f t="array" ref="HD7">$HD$3:INDEX($HD$3:$HD$4,(ROWS($HB$3:$HB$4)-COUNTBLANK($HB$3:$HB$4)))</f>
        <v>-</v>
      </c>
      <c r="HF7" t="s">
        <v>501</v>
      </c>
      <c r="HG7">
        <v>800</v>
      </c>
      <c r="HH7">
        <f>IF(Wycena!$C$59=Mapping!$HB$31,-400,0)+HG7</f>
        <v>800</v>
      </c>
      <c r="HI7" t="str">
        <f>IF(Wycena!$C$6="Brak (pełne)","",HF7)</f>
        <v>W skrzydle i naświetlu</v>
      </c>
      <c r="HJ7" t="str">
        <f>IF(AND(Wycena!$C$20="-",Wycena!$C$21="-",Wycena!$C$22&lt;&gt;"-"),HI7,"")</f>
        <v/>
      </c>
      <c r="HK7" t="str" cm="1">
        <f t="array" ref="HK7">IF(ROWS($HJ$3:HJ7)&gt;(ROWS($HJ$3:$HJ$13)-COUNTBLANK($HJ$3:$HJ$13)),"",INDEX($HJ$3:$HJ$13,SMALL(IF($HJ$3:$HJ$13&lt;&gt;"",ROW($HJ$3:$HJ$13)-2),ROWS($HJ$3:HJ7))))</f>
        <v/>
      </c>
      <c r="HS7">
        <v>10</v>
      </c>
      <c r="HT7">
        <v>110</v>
      </c>
      <c r="HU7">
        <f>(1+IFERROR(VLOOKUP(Wycena!$C$45,Mapping!$EZ$3:$FC$6,4,1),0)+IFERROR(VLOOKUP(Wycena!$C$49,Mapping!$EZ$3:$FC$6,4,1),0))*HT7</f>
        <v>110</v>
      </c>
      <c r="HW7" t="s">
        <v>522</v>
      </c>
      <c r="HX7">
        <v>200</v>
      </c>
      <c r="HY7">
        <v>200</v>
      </c>
      <c r="HZ7">
        <v>400</v>
      </c>
      <c r="IA7">
        <v>400</v>
      </c>
      <c r="IB7" t="s">
        <v>522</v>
      </c>
      <c r="IC7" t="str">
        <f t="array" ref="IC7">IF(ROWS($IB$3:IB7)&gt;(ROWS($IB$3:$IB$9)-COUNTBLANK($IB$3:$IB$9)),"",INDEX($IB$3:$IB$9,SMALL(IF($IB$3:$IB$9&lt;&gt;"",ROW($IB$3:$IB$9)-2),ROWS($IB$3:IB7))))</f>
        <v/>
      </c>
      <c r="IH7" t="s">
        <v>537</v>
      </c>
      <c r="II7" s="8">
        <v>350</v>
      </c>
      <c r="IW7" s="11">
        <v>0.04</v>
      </c>
      <c r="IY7" s="8">
        <v>500</v>
      </c>
      <c r="JC7" t="s">
        <v>293</v>
      </c>
      <c r="JD7" t="s">
        <v>819</v>
      </c>
      <c r="JF7" t="str" cm="1">
        <f t="array" ref="JF7">$JF$3:INDEX($JF$3:$JF$4,(ROWS($JD$3:$JD$4)-COUNTBLANK($JD$3:$JD$4)))</f>
        <v>Inox</v>
      </c>
    </row>
    <row r="8" spans="1:266" x14ac:dyDescent="0.35">
      <c r="A8" t="s">
        <v>83</v>
      </c>
      <c r="B8">
        <v>20</v>
      </c>
      <c r="C8">
        <v>20</v>
      </c>
      <c r="D8">
        <v>20</v>
      </c>
      <c r="E8">
        <v>20</v>
      </c>
      <c r="F8">
        <v>34</v>
      </c>
      <c r="G8">
        <v>34</v>
      </c>
      <c r="H8">
        <f t="shared" si="0"/>
        <v>36</v>
      </c>
      <c r="I8">
        <f t="shared" si="1"/>
        <v>36</v>
      </c>
      <c r="M8" t="str">
        <f ca="1">IFERROR(VLOOKUP(Wycena!$C$5,OFFSET(SKU!$B$1,MATCH(Wycena!$C$5,SKU!$B$1:$B$743,0)+4,0,1000,6),5,0),"")</f>
        <v/>
      </c>
      <c r="N8" s="8" t="str">
        <f ca="1">IFERROR(VLOOKUP(Wycena!$C$5,OFFSET(SKU!$B$1,MATCH(Wycena!$C$5,SKU!$B$1:$B$743,0)+4,0,1000,6),2,0)-VLOOKUP(Wycena!$C$5,SKU!$B$1:$C$743,2,0),"")</f>
        <v/>
      </c>
      <c r="O8" t="str" cm="1">
        <f t="array" aca="1" ref="O8" ca="1">IF(ROWS($M$3:M8)&gt;(ROWS($M$3:$M$10)-COUNTBLANK($M$3:$M$10)),"",INDEX($M$3:$M$10,SMALL(IF($M$3:$M$10&lt;&gt;"",ROW($M$3:$M$10)-2),ROWS($M$3:M8))))</f>
        <v/>
      </c>
      <c r="Q8" t="s">
        <v>268</v>
      </c>
      <c r="R8">
        <v>1200</v>
      </c>
      <c r="S8" t="e">
        <f>IF(VLOOKUP(Wycena!$C$5,SKU!$B$1:$D$743,3,0)="Płytowe",Q8,"")</f>
        <v>#N/A</v>
      </c>
      <c r="T8" t="e" cm="1">
        <f t="array" ref="T8">IF(ROWS($S$3:S8)&gt;(ROWS($S$3:$S$8)-COUNTBLANK($S$3:$S$8)),"",INDEX($S$3:$S$8,SMALL(IF($S$3:$S$8&lt;&gt;"",ROW($S$3:$S$8)-2),ROWS($S$3:S8))))</f>
        <v>#N/A</v>
      </c>
      <c r="Y8" t="s">
        <v>12</v>
      </c>
      <c r="Z8">
        <v>0</v>
      </c>
      <c r="AA8" t="str">
        <f t="shared" si="2"/>
        <v>Jasny orzech</v>
      </c>
      <c r="AB8" t="str">
        <f>IF((VLOOKUP(Wycena!$C$7,Mapping!$Q$15:$R$20,2,0))="tak","",AA8)</f>
        <v>Jasny orzech</v>
      </c>
      <c r="AC8" t="e" cm="1">
        <f t="array" ref="AC8">IF(ROWS($AB$3:AB8)&gt;(ROWS($AB$3:$AB$229)-COUNTBLANK($AB$3:$AB$229)),"",INDEX($AB$3:$AB$229,SMALL(IF($AB$3:$AB$229&lt;&gt;"",ROW($AB$3:$AB$229)-2),ROWS($AB$3:AB8))))</f>
        <v>#N/A</v>
      </c>
      <c r="AI8" t="s">
        <v>263</v>
      </c>
      <c r="AK8" t="s">
        <v>263</v>
      </c>
      <c r="AP8" t="e">
        <f t="array" ref="AP8">$AP$3:INDEX($AP$3:$AP$5,(ROWS($AN$3:$AN$5)-COUNTBLANK($AN$3:$AN$5)))</f>
        <v>#N/A</v>
      </c>
      <c r="AV8">
        <f t="array" ref="AV8">$AV$3:INDEX($AV$3:$AV$5,(ROWS($AT$3:$AT$5)-COUNTBLANK($AT$3:$AT$5)))</f>
        <v>78</v>
      </c>
      <c r="AX8">
        <v>77</v>
      </c>
      <c r="AY8">
        <v>0</v>
      </c>
      <c r="AZ8">
        <v>0</v>
      </c>
      <c r="BA8">
        <f>IF(Wycena!$C$16=78,Mapping!AY8,AZ8)</f>
        <v>0</v>
      </c>
      <c r="BD8">
        <v>185</v>
      </c>
      <c r="BE8">
        <v>0</v>
      </c>
      <c r="BF8">
        <v>0</v>
      </c>
      <c r="BG8">
        <f>IF(Wycena!$C$16=78,Mapping!BE8,BF8)</f>
        <v>0</v>
      </c>
      <c r="BO8" t="s">
        <v>392</v>
      </c>
      <c r="BP8" t="s">
        <v>392</v>
      </c>
      <c r="BQ8" t="e">
        <f>IF(VLOOKUP(Wycena!C5,SKU!$B$1:$E$743,4,0)="Prestige Kamień","",BP8)</f>
        <v>#N/A</v>
      </c>
      <c r="BR8" t="e">
        <f>IF(Wycena!$C$14="Bezprzylgowe Glass","",BQ8)</f>
        <v>#N/A</v>
      </c>
      <c r="BS8" t="e">
        <f t="array" ref="BS8">IF(ROWS($BR$3:BR8)&gt;(ROWS($BR$3:$BR$8)-COUNTBLANK($BR$3:$BR$8)),"",INDEX($BR$3:$BR$8,SMALL(IF($BR$3:$BR$8&lt;&gt;"",ROW($BR$3:$BR$8)-2),ROWS($BR$3:BR8))))</f>
        <v>#N/A</v>
      </c>
      <c r="CA8" t="s">
        <v>78</v>
      </c>
      <c r="CB8">
        <v>150</v>
      </c>
      <c r="CC8" t="e">
        <f>CB8*(1+IFERROR(VLOOKUP(Wycena!$C$45,Mapping!$EZ$3:$FC$6,4,1),0)+IFERROR(VLOOKUP(Wycena!$C$49,Mapping!$EZ$3:$FC$6,4,1),0))*(1+VLOOKUP(Wycena!$C$54,Mapping!$BW$3:$BX$6,2,1))</f>
        <v>#N/A</v>
      </c>
      <c r="CD8" t="s">
        <v>77</v>
      </c>
      <c r="CE8" t="str">
        <f>IF(Wycena!$C$22="-","",CD8)</f>
        <v/>
      </c>
      <c r="CF8" t="str" cm="1">
        <f t="array" ref="CF8">IF(ROWS($CE$3:CE8)&gt;(ROWS($CE$3:$CE$13)-COUNTBLANK($CE$3:$CE$13)),"",INDEX($CE$3:$CE$13,SMALL(IF($CE$3:$CE$13&lt;&gt;"",ROW($CE$3:$CE$13)-2),ROWS($CE$3:CE8))))</f>
        <v/>
      </c>
      <c r="CO8" t="s">
        <v>330</v>
      </c>
      <c r="CP8">
        <v>1200</v>
      </c>
      <c r="CQ8" t="str">
        <f>IF(Wycena!$C$25="Krosnowa","",CO8)</f>
        <v>Przy skrzydle i naświetlu od zewnątrz</v>
      </c>
      <c r="CR8" t="str">
        <f>IF(Wycena!$C$14="Bezprzylgowe Glass","",CQ8)</f>
        <v>Przy skrzydle i naświetlu od zewnątrz</v>
      </c>
      <c r="CS8" t="str">
        <f>CR8</f>
        <v>Przy skrzydle i naświetlu od zewnątrz</v>
      </c>
      <c r="CT8" t="str">
        <f>IF(Wycena!$C$22="W ościeżnicy",CS8,"")</f>
        <v/>
      </c>
      <c r="CU8" t="str" cm="1">
        <f t="array" ref="CU8">IF(ROWS($CT$3:CT8)&gt;(ROWS($CT$3:$CT$11)-COUNTBLANK($CT$3:$CT$11)),"",INDEX($CT$3:$CT$11,SMALL(IF($CT$3:$CT$11&lt;&gt;"",ROW($CT$3:$CT$11)-2),ROWS($CT$3:CT8))))</f>
        <v/>
      </c>
      <c r="CY8" t="s">
        <v>18</v>
      </c>
      <c r="CZ8">
        <f>VLOOKUP(Wycena!$C$25,Mapping!$CW$3:$CX$4,2,0)</f>
        <v>6</v>
      </c>
      <c r="DA8">
        <v>10.5</v>
      </c>
      <c r="DB8" t="str">
        <f>IF(OR(DB3=6,DB5=8),"",IF(DA8&gt;=VLOOKUP(Wycena!$C$14,Mapping!$CY$3:$CZ$5,2,0),DA8,""))</f>
        <v/>
      </c>
      <c r="DC8" cm="1">
        <f t="array" ref="DC8">IF(ROWS($DB$3:DB8)&gt;(ROWS($DB$3:$DB$28)-COUNTBLANK($DB$3:$DB$28)),"",INDEX($DB$3:$DB$28,SMALL(IF($DB$3:$DB$28&lt;&gt;"",ROW($DB$3:$DB$28)-2),ROWS($DB$3:DB8))))</f>
        <v>11</v>
      </c>
      <c r="DG8" t="s">
        <v>18</v>
      </c>
      <c r="DH8">
        <f>DH3</f>
        <v>6</v>
      </c>
      <c r="DI8">
        <f>DI3</f>
        <v>6</v>
      </c>
      <c r="DK8">
        <v>10.5</v>
      </c>
      <c r="DL8" t="str">
        <f>IF(OR(DL3=6,DL5=8),"",IF(DK8&gt;=VLOOKUP(Wycena!$C$14,Mapping!$DG$3:$DH$5,2,0),DK8,""))</f>
        <v/>
      </c>
      <c r="DM8" cm="1">
        <f t="array" ref="DM8">IF(ROWS($DL$3:DL8)&gt;(ROWS($DL$3:$DL$28)-COUNTBLANK($DL$3:$DL$28)),"",INDEX($DL$3:$DL$28,SMALL(IF($DL$3:$DL$28&lt;&gt;"",ROW($DL$3:$DL$28)-2),ROWS($DL$3:DL8))))</f>
        <v>11</v>
      </c>
      <c r="DN8" t="str">
        <f>IF(OR(DL3=6,DL5=8),"",IF(DK8&gt;=VLOOKUP(Wycena!$C$14,Mapping!$DG$3:$DI$5,3,0),DK8,""))</f>
        <v/>
      </c>
      <c r="DO8" cm="1">
        <f t="array" ref="DO8">IF(ROWS($DN$3:DN8)&gt;(ROWS($DN$3:$DN$28)-COUNTBLANK($DN$3:$DN$28)),"",INDEX($DN$3:$DN$28,SMALL(IF($DN$3:$DN$28&lt;&gt;"",ROW($DN$3:$DN$28)-2),ROWS($DN$3:DN8))))</f>
        <v>11</v>
      </c>
      <c r="DQ8" t="s">
        <v>343</v>
      </c>
      <c r="DR8">
        <v>10.5</v>
      </c>
      <c r="DS8">
        <v>10.5</v>
      </c>
      <c r="DT8">
        <f>IF(DT3=6,"",IF(DS8&gt;=VLOOKUP(Wycena!$C$25,Mapping!$DQ$3:$DR$4,2,0),DS8,""))</f>
        <v>10.5</v>
      </c>
      <c r="DU8" cm="1">
        <f t="array" ref="DU8">IF(ROWS($DT$3:DT8)&gt;(ROWS($DT$3:$DT$28)-COUNTBLANK($DT$3:$DT$28)),"",INDEX($DT$3:$DT$28,SMALL(IF($DT$3:$DT$28&lt;&gt;"",ROW($DT$3:$DT$28)-2),ROWS($DT$3:DT8))))</f>
        <v>15</v>
      </c>
      <c r="DW8">
        <v>5</v>
      </c>
      <c r="DY8" s="9" t="s">
        <v>360</v>
      </c>
      <c r="DZ8">
        <v>80</v>
      </c>
      <c r="EB8" s="9" t="s">
        <v>360</v>
      </c>
      <c r="EC8">
        <v>80</v>
      </c>
      <c r="EG8" s="9" t="s">
        <v>360</v>
      </c>
      <c r="EH8">
        <v>80</v>
      </c>
      <c r="EJ8" s="9" t="s">
        <v>360</v>
      </c>
      <c r="EK8">
        <v>80</v>
      </c>
      <c r="EM8">
        <v>118</v>
      </c>
      <c r="EN8">
        <v>118.001</v>
      </c>
      <c r="EP8" t="str">
        <f>IF(OR(Wycena!$C$20&lt;&gt;"-",Wycena!$C$21&lt;&gt;"-",),EM8,"")</f>
        <v/>
      </c>
      <c r="EQ8" t="str" cm="1">
        <f t="array" ref="EQ8">IF(ROWS($EP$3:EP8)&gt;(ROWS($EP$3:$EP$8)-COUNTBLANK($EP$3:$EP$8)),"",INDEX($EP$3:$EP$8,SMALL(IF($EP$3:$EP$8&lt;&gt;"",ROW($EP$3:$EP$8)-2),ROWS($EP$3:EP8))))</f>
        <v/>
      </c>
      <c r="ES8">
        <v>244</v>
      </c>
      <c r="ET8">
        <v>244.001</v>
      </c>
      <c r="EV8" t="str">
        <f>IF(IF(Wycena!$C$22&lt;&gt;"-",ES8,"")&lt;=Wycena!$C$18-Wycena!$C$27,ES8,"")</f>
        <v/>
      </c>
      <c r="EW8" t="str" cm="1">
        <f t="array" ref="EW8">IF(ROWS($EV$3:EV8)&gt;(ROWS($EV$3:$EV$8)-COUNTBLANK($EV$3:$EV$8)),"",INDEX($EV$3:$EV$8,SMALL(IF($EV$3:$EV$8&lt;&gt;"",ROW($EV$3:$EV$8)-2),ROWS($EV$3:EV8))))</f>
        <v/>
      </c>
      <c r="FE8" t="s">
        <v>77</v>
      </c>
      <c r="FF8">
        <v>350</v>
      </c>
      <c r="FG8" t="s">
        <v>77</v>
      </c>
      <c r="FH8" t="str">
        <f>IF(Wycena!$C$20="-","",FG8)</f>
        <v/>
      </c>
      <c r="FI8" t="str">
        <f t="array" ref="FI8">IF(ROWS($FH$3:FH8)&gt;(ROWS($FH$3:$FH$14)-COUNTBLANK($FH$3:$FH$14)),"",INDEX($FH$3:$FH$14,SMALL(IF($FH$3:$FH$14&lt;&gt;"",ROW($FH$3:$FH$14)-2),ROWS($FH$3:FH8))))</f>
        <v/>
      </c>
      <c r="FJ8" t="s">
        <v>77</v>
      </c>
      <c r="FK8" t="str">
        <f>IF(Wycena!$C$21="-","",FJ8)</f>
        <v/>
      </c>
      <c r="FL8" t="str">
        <f t="array" ref="FL8">IF(ROWS($FK$3:FK8)&gt;(ROWS($FK$3:$FK$14)-COUNTBLANK($FK$3:$FK$14)),"",INDEX($FK$3:$FK$14,SMALL(IF($FK$3:$FK$14&lt;&gt;"",ROW($FK$3:$FK$14)-2),ROWS($FK$3:FK8))))</f>
        <v/>
      </c>
      <c r="FO8">
        <v>5</v>
      </c>
      <c r="FP8" t="str">
        <f>IF(Wycena!$C$20="-","",FO8)</f>
        <v/>
      </c>
      <c r="FQ8" t="str" cm="1">
        <f t="array" ref="FQ8">IF(ROWS($FP$3:FP8)&gt;(ROWS($FP$3:$FP$23)-COUNTBLANK($FP$3:$FP$23)),"",INDEX($FP$3:$FP$23,SMALL(IF($FP$3:$FP$23&lt;&gt;"",ROW($FP$3:$FP$23)-2),ROWS($FP$3:FP8))))</f>
        <v/>
      </c>
      <c r="FR8" t="str">
        <f>IF(Wycena!$C$21="-","",FO8)</f>
        <v/>
      </c>
      <c r="FS8" t="str" cm="1">
        <f t="array" ref="FS8">IF(ROWS($FR$3:FR8)&gt;(ROWS($FR$3:$FR$23)-COUNTBLANK($FR$3:$FR$23)),"",INDEX($FR$3:$FR$23,SMALL(IF($FR$3:$FR$23&lt;&gt;"",ROW($FR$3:$FR$23)-2),ROWS($FR$3:FR8))))</f>
        <v/>
      </c>
      <c r="FT8" t="str">
        <f>IF(Wycena!$C$22="-","",FO8)</f>
        <v/>
      </c>
      <c r="FU8" t="str">
        <f t="array" ref="FU8">IF(ROWS($FT$3:FT8)&gt;(ROWS($FT$3:$FT$23)-COUNTBLANK($FT$3:$FT$23)),"",INDEX($FT$3:$FT$23,SMALL(IF($FT$3:$FT$23&lt;&gt;"",ROW($FT$3:$FT$23)-2),ROWS($FT$3:FT8))))</f>
        <v/>
      </c>
      <c r="FV8" t="s">
        <v>263</v>
      </c>
      <c r="FW8" t="s">
        <v>425</v>
      </c>
      <c r="FX8" s="8">
        <v>5600</v>
      </c>
      <c r="FY8" t="str">
        <f ca="1">IFERROR(VLOOKUP(Wycena!C59,OFFSET(FW15,MATCH(Wycena!C59,FW15:FW39,0)+4,0,15,2),2,0),"")</f>
        <v>Automat 4-punktowy</v>
      </c>
      <c r="FZ8" t="str" cm="1">
        <f t="array" aca="1" ref="FZ8" ca="1">IF(ROWS($FY$3:FY8)&gt;(ROWS($FY$3:$FY$10)-COUNTBLANK($FY$3:$FY$10)),"",INDEX($FY$3:$FY$10,SMALL(IF($FY$3:$FY$10&lt;&gt;"",ROW($FY$3:$FY$10)-2),ROWS($FY$3:FY8))))</f>
        <v>Automat 4-punktowy</v>
      </c>
      <c r="GA8" t="s">
        <v>436</v>
      </c>
      <c r="GB8">
        <v>250</v>
      </c>
      <c r="GC8" t="s">
        <v>436</v>
      </c>
      <c r="GD8" t="str">
        <f t="shared" si="3"/>
        <v>Klamka AXA Haga Plus</v>
      </c>
      <c r="GJ8" t="str">
        <f>IF((HLOOKUP(VLOOKUP(Wycena!$C$59,Mapping!$GI$35:$GJ$43,2,0),$GD$1:$GI$33,2+GK8))=0,"",(HLOOKUP(VLOOKUP(Wycena!$C$59,Mapping!$GI$35:$GJ$43,2,0),$GD$1:$GI$33,2+GK8)))</f>
        <v>Klamka AXA Haga Plus</v>
      </c>
      <c r="GK8">
        <v>6</v>
      </c>
      <c r="GL8" t="e">
        <f t="array" ref="GL8">IF(ROWS($GJ$3:GJ8)&gt;(ROWS($GJ$3:$GJ$33)-COUNTBLANK($GJ$3:$GJ$33)),"",INDEX($GJ$3:$GJ$33,SMALL(IF($GJ$3:$GJ$33&lt;&gt;"",ROW($GJ$3:$GJ$33)-2),ROWS($GJ$3:GJ8))))</f>
        <v>#N/A</v>
      </c>
      <c r="GM8" t="s">
        <v>434</v>
      </c>
      <c r="GN8" t="s">
        <v>469</v>
      </c>
      <c r="GQ8" t="str">
        <f>IFERROR(IF(FIND("Antaba M",Wycena!$C$61)&gt;0,170,""),"")</f>
        <v/>
      </c>
      <c r="GR8" t="str">
        <f t="array" ref="GR8">IF(ROWS($GQ$3:GQ8)&gt;(ROWS($GQ$3:$GQ$9)-COUNTBLANK($GQ$3:$GQ$9)),"",INDEX($GQ$3:$GQ$9,SMALL(IF($GQ$3:$GQ$9&lt;&gt;"",ROW($GQ$3:$GQ$9)-2),ROWS($GQ$3:GQ8))))</f>
        <v/>
      </c>
      <c r="GS8" t="s">
        <v>486</v>
      </c>
      <c r="GT8">
        <f>550-IF(Wycena!C59=Mapping!FY31,450,0)</f>
        <v>550</v>
      </c>
      <c r="GU8" t="str">
        <f>IF(Wycena!$C$59=Mapping!FW6,"-",IF(Wycena!$C$59=Mapping!FW7,GS8,GS8))</f>
        <v>Klasy C czarna</v>
      </c>
      <c r="GV8" t="str">
        <f t="array" ref="GV8">IF(ROWS($GU$3:GU8)&gt;(ROWS($GU$3:$GU$8)-COUNTBLANK($GU$3:$GU$8)),"",INDEX($GU$3:$GU$8,SMALL(IF($GU$3:$GU$8&lt;&gt;"",ROW($GU$3:$GU$8)-2),ROWS($GU$3:GU8))))</f>
        <v>Klasy C czarna</v>
      </c>
      <c r="HA8" t="str">
        <f t="array" ref="HA8">$HA$3:INDEX($HA$3:$HA$5,(ROWS($GZ$3:$GZ$5)-COUNTBLANK($GZ$3:$GZ$5)))</f>
        <v>-</v>
      </c>
      <c r="HF8" t="s">
        <v>502</v>
      </c>
      <c r="HG8">
        <v>1200</v>
      </c>
      <c r="HH8">
        <f>IF(Wycena!$C$59=Mapping!$HB$31,-400,0)+HG8</f>
        <v>1200</v>
      </c>
      <c r="HI8" t="str">
        <f>IF(Wycena!$C$6="Brak (pełne)","",HF8)</f>
        <v>W skrzydle, dostawce i naświetlu</v>
      </c>
      <c r="HJ8" t="str">
        <f>IF(OR(AND(Wycena!$C$20="-",Wycena!$C$21&lt;&gt;"-",Wycena!C22&lt;&gt;"-"),AND(Wycena!$C$21="-",Wycena!$C$20&lt;&gt;"-",Wycena!C22&lt;&gt;"-")),HI8,"")</f>
        <v/>
      </c>
      <c r="HK8" t="str" cm="1">
        <f t="array" ref="HK8">IF(ROWS($HJ$3:HJ8)&gt;(ROWS($HJ$3:$HJ$13)-COUNTBLANK($HJ$3:$HJ$13)),"",INDEX($HJ$3:$HJ$13,SMALL(IF($HJ$3:$HJ$13&lt;&gt;"",ROW($HJ$3:$HJ$13)-2),ROWS($HJ$3:HJ8))))</f>
        <v/>
      </c>
      <c r="HQ8" t="str">
        <f t="array" ref="HQ8">$HQ$3:INDEX($HQ$3:$HQ$5,(ROWS($HP$3:$HP$5)-COUNTBLANK($HP$3:$HP$5)))</f>
        <v>Aluminiowy (standard)</v>
      </c>
      <c r="HS8">
        <v>13</v>
      </c>
      <c r="HT8">
        <v>170</v>
      </c>
      <c r="HU8">
        <f>(1+IFERROR(VLOOKUP(Wycena!$C$45,Mapping!$EZ$3:$FC$6,4,1),0)+IFERROR(VLOOKUP(Wycena!$C$49,Mapping!$EZ$3:$FC$6,4,1),0))*HT8</f>
        <v>170</v>
      </c>
      <c r="HW8" t="s">
        <v>524</v>
      </c>
      <c r="HX8">
        <v>200</v>
      </c>
      <c r="HY8">
        <f>(1+IFERROR(VLOOKUP(Wycena!$C$45,Mapping!$EZ$3:$FC$6,4,1),0)+IFERROR(VLOOKUP(Wycena!$C$49,Mapping!$EZ$3:$FC$6,4,1),0))*HX8</f>
        <v>200</v>
      </c>
      <c r="HZ8">
        <v>400</v>
      </c>
      <c r="IA8">
        <f>(1+IFERROR(VLOOKUP(Wycena!$C$45,Mapping!$EZ$3:$FC$6,4,1),0)+IFERROR(VLOOKUP(Wycena!$C$49,Mapping!$EZ$3:$FC$6,4,1),0))*HZ8</f>
        <v>400</v>
      </c>
      <c r="IB8" t="str">
        <f>IF(OR(AND(Wycena!$C$20="-",Wycena!$C$21&lt;&gt;"-"),AND(Wycena!$C$21="-",Wycena!$C$20&lt;&gt;"-")),HW8,"")</f>
        <v/>
      </c>
      <c r="IC8" t="str">
        <f t="array" ref="IC8">IF(ROWS($IB$3:IB8)&gt;(ROWS($IB$3:$IB$9)-COUNTBLANK($IB$3:$IB$9)),"",INDEX($IB$3:$IB$9,SMALL(IF($IB$3:$IB$9&lt;&gt;"",ROW($IB$3:$IB$9)-2),ROWS($IB$3:IB8))))</f>
        <v/>
      </c>
      <c r="IH8" t="s">
        <v>538</v>
      </c>
      <c r="II8" s="8">
        <v>500</v>
      </c>
      <c r="IW8" s="11">
        <v>0.05</v>
      </c>
      <c r="IY8" s="8">
        <v>600</v>
      </c>
      <c r="JC8" t="s">
        <v>294</v>
      </c>
      <c r="JD8" t="s">
        <v>819</v>
      </c>
    </row>
    <row r="9" spans="1:266" x14ac:dyDescent="0.35">
      <c r="A9" t="s">
        <v>84</v>
      </c>
      <c r="B9">
        <v>20</v>
      </c>
      <c r="C9">
        <v>20</v>
      </c>
      <c r="D9">
        <v>20</v>
      </c>
      <c r="E9">
        <v>20</v>
      </c>
      <c r="F9">
        <v>34</v>
      </c>
      <c r="G9">
        <v>34</v>
      </c>
      <c r="H9">
        <f t="shared" si="0"/>
        <v>36</v>
      </c>
      <c r="I9">
        <f t="shared" si="1"/>
        <v>36</v>
      </c>
      <c r="M9" t="str">
        <f ca="1">IFERROR(VLOOKUP(Wycena!$C$5,OFFSET(SKU!$B$1,MATCH(Wycena!$C$5,SKU!$B$1:$B$743,0)+5,0,1000,6),5,0),"")</f>
        <v/>
      </c>
      <c r="N9" s="8" t="str">
        <f ca="1">IFERROR(VLOOKUP(Wycena!$C$5,OFFSET(SKU!$B$1,MATCH(Wycena!$C$5,SKU!$B$1:$B$743,0)+5,0,1000,6),2,0)-VLOOKUP(Wycena!$C$5,SKU!$B$1:$C$743,2,0),"")</f>
        <v/>
      </c>
      <c r="O9" t="str" cm="1">
        <f t="array" aca="1" ref="O9" ca="1">IF(ROWS($M$3:M9)&gt;(ROWS($M$3:$M$10)-COUNTBLANK($M$3:$M$10)),"",INDEX($M$3:$M$10,SMALL(IF($M$3:$M$10&lt;&gt;"",ROW($M$3:$M$10)-2),ROWS($M$3:M9))))</f>
        <v/>
      </c>
      <c r="Q9" t="s">
        <v>263</v>
      </c>
      <c r="R9" t="s">
        <v>263</v>
      </c>
      <c r="S9" t="s">
        <v>263</v>
      </c>
      <c r="T9" t="s">
        <v>263</v>
      </c>
      <c r="Y9" t="s">
        <v>279</v>
      </c>
      <c r="Z9">
        <v>0</v>
      </c>
      <c r="AA9" t="str">
        <f t="shared" si="2"/>
        <v>Mahoń</v>
      </c>
      <c r="AB9" t="str">
        <f>IF((VLOOKUP(Wycena!$C$7,Mapping!$Q$15:$R$20,2,0))="tak","",AA9)</f>
        <v>Mahoń</v>
      </c>
      <c r="AC9" t="e" cm="1">
        <f t="array" ref="AC9">IF(ROWS($AB$3:AB9)&gt;(ROWS($AB$3:$AB$229)-COUNTBLANK($AB$3:$AB$229)),"",INDEX($AB$3:$AB$229,SMALL(IF($AB$3:$AB$229&lt;&gt;"",ROW($AB$3:$AB$229)-2),ROWS($AB$3:AB9))))</f>
        <v>#N/A</v>
      </c>
      <c r="AX9">
        <v>78</v>
      </c>
      <c r="AY9">
        <v>0</v>
      </c>
      <c r="AZ9">
        <v>0</v>
      </c>
      <c r="BA9">
        <f>IF(Wycena!$C$16=78,Mapping!AY9,AZ9)</f>
        <v>0</v>
      </c>
      <c r="BD9">
        <v>186</v>
      </c>
      <c r="BE9">
        <v>0</v>
      </c>
      <c r="BF9">
        <v>0</v>
      </c>
      <c r="BG9">
        <f>IF(Wycena!$C$16=78,Mapping!BE9,BF9)</f>
        <v>0</v>
      </c>
      <c r="BM9" t="str">
        <f t="array" ref="BM9">$BM$3:INDEX($BM$3:$BM$6,(ROWS($BL$3:$BL$6)-COUNTBLANK($BL$3:$BL$6)))</f>
        <v>Lewe na zewnątrz</v>
      </c>
      <c r="BO9" t="s">
        <v>263</v>
      </c>
      <c r="BP9" t="s">
        <v>263</v>
      </c>
      <c r="BQ9" t="s">
        <v>263</v>
      </c>
      <c r="BR9" t="s">
        <v>263</v>
      </c>
      <c r="BS9" t="s">
        <v>263</v>
      </c>
      <c r="BZ9" t="str">
        <f t="array" ref="BZ9">$BZ$3:INDEX($BZ$3:$BZ$6,(ROWS($BY$3:$BY$6)-COUNTBLANK($BY$3:$BY$6)))</f>
        <v>-</v>
      </c>
      <c r="CA9" t="s">
        <v>236</v>
      </c>
      <c r="CB9">
        <v>400</v>
      </c>
      <c r="CC9" t="e">
        <f>CB9*(1+IFERROR(VLOOKUP(Wycena!$C$45,Mapping!$EZ$3:$FC$6,4,1),0)+IFERROR(VLOOKUP(Wycena!$C$49,Mapping!$EZ$3:$FC$6,4,1),0))*(1+VLOOKUP(Wycena!$C$54,Mapping!$BW$3:$BX$6,2,1))</f>
        <v>#N/A</v>
      </c>
      <c r="CD9" t="s">
        <v>78</v>
      </c>
      <c r="CE9" t="str">
        <f>IF(Wycena!$C$22="-","",CD9)</f>
        <v/>
      </c>
      <c r="CF9" t="str" cm="1">
        <f t="array" ref="CF9">IF(ROWS($CE$3:CE9)&gt;(ROWS($CE$3:$CE$13)-COUNTBLANK($CE$3:$CE$13)),"",INDEX($CE$3:$CE$13,SMALL(IF($CE$3:$CE$13&lt;&gt;"",ROW($CE$3:$CE$13)-2),ROWS($CE$3:CE9))))</f>
        <v/>
      </c>
      <c r="CO9" t="s">
        <v>331</v>
      </c>
      <c r="CP9">
        <v>1600</v>
      </c>
      <c r="CQ9" t="str">
        <f>IF(Wycena!$C$25="Krosnowa","",CO9)</f>
        <v>Przy skrzydle i naświetlu z dwóch stron</v>
      </c>
      <c r="CR9" t="str">
        <f>IF(Wycena!$C$14="Bezprzylgowe Glass","",CQ9)</f>
        <v>Przy skrzydle i naświetlu z dwóch stron</v>
      </c>
      <c r="CS9" t="str">
        <f>CR9</f>
        <v>Przy skrzydle i naświetlu z dwóch stron</v>
      </c>
      <c r="CT9" t="str">
        <f>IF(Wycena!$C$22="W ościeżnicy",CS9,"")</f>
        <v/>
      </c>
      <c r="CU9" t="str" cm="1">
        <f t="array" ref="CU9">IF(ROWS($CT$3:CT9)&gt;(ROWS($CT$3:$CT$11)-COUNTBLANK($CT$3:$CT$11)),"",INDEX($CT$3:$CT$11,SMALL(IF($CT$3:$CT$11&lt;&gt;"",ROW($CT$3:$CT$11)-2),ROWS($CT$3:CT9))))</f>
        <v/>
      </c>
      <c r="CY9" t="s">
        <v>293</v>
      </c>
      <c r="CZ9">
        <v>8</v>
      </c>
      <c r="DA9">
        <v>11</v>
      </c>
      <c r="DB9">
        <f>IF(DA9&gt;=VLOOKUP(Wycena!$C$14,Mapping!$CY$3:$CZ$5,2,0),DA9,"")</f>
        <v>11</v>
      </c>
      <c r="DC9" cm="1">
        <f t="array" ref="DC9">IF(ROWS($DB$3:DB9)&gt;(ROWS($DB$3:$DB$28)-COUNTBLANK($DB$3:$DB$28)),"",INDEX($DB$3:$DB$28,SMALL(IF($DB$3:$DB$28&lt;&gt;"",ROW($DB$3:$DB$28)-2),ROWS($DB$3:DB9))))</f>
        <v>12</v>
      </c>
      <c r="DG9" t="s">
        <v>293</v>
      </c>
      <c r="DH9">
        <f>DH4</f>
        <v>8</v>
      </c>
      <c r="DI9">
        <f>DI4</f>
        <v>8</v>
      </c>
      <c r="DK9">
        <v>11</v>
      </c>
      <c r="DL9">
        <f>IF(DK9&gt;=VLOOKUP(Wycena!$C$14,Mapping!$DG$3:$DH$5,2,0),DK9,"")</f>
        <v>11</v>
      </c>
      <c r="DM9" cm="1">
        <f t="array" ref="DM9">IF(ROWS($DL$3:DL9)&gt;(ROWS($DL$3:$DL$28)-COUNTBLANK($DL$3:$DL$28)),"",INDEX($DL$3:$DL$28,SMALL(IF($DL$3:$DL$28&lt;&gt;"",ROW($DL$3:$DL$28)-2),ROWS($DL$3:DL9))))</f>
        <v>12</v>
      </c>
      <c r="DN9">
        <f>IF(DK9&gt;=VLOOKUP(Wycena!$C$14,Mapping!$DG$3:$DI$5,3,0),DK9,"")</f>
        <v>11</v>
      </c>
      <c r="DO9" cm="1">
        <f t="array" ref="DO9">IF(ROWS($DN$3:DN9)&gt;(ROWS($DN$3:$DN$28)-COUNTBLANK($DN$3:$DN$28)),"",INDEX($DN$3:$DN$28,SMALL(IF($DN$3:$DN$28&lt;&gt;"",ROW($DN$3:$DN$28)-2),ROWS($DN$3:DN9))))</f>
        <v>12</v>
      </c>
      <c r="DQ9" t="s">
        <v>340</v>
      </c>
      <c r="DR9">
        <v>6</v>
      </c>
      <c r="DS9">
        <v>11</v>
      </c>
      <c r="DT9">
        <f>IF(DS9&gt;=VLOOKUP(Wycena!$C$25,Mapping!$DQ$3:$DR$4,2,0),DS9,"")</f>
        <v>11</v>
      </c>
      <c r="DU9" cm="1">
        <f t="array" ref="DU9">IF(ROWS($DT$3:DT9)&gt;(ROWS($DT$3:$DT$28)-COUNTBLANK($DT$3:$DT$28)),"",INDEX($DT$3:$DT$28,SMALL(IF($DT$3:$DT$28&lt;&gt;"",ROW($DT$3:$DT$28)-2),ROWS($DT$3:DT9))))</f>
        <v>16</v>
      </c>
      <c r="DW9">
        <v>6</v>
      </c>
      <c r="DY9" t="s">
        <v>361</v>
      </c>
      <c r="DZ9">
        <v>80</v>
      </c>
      <c r="EB9" t="s">
        <v>361</v>
      </c>
      <c r="EC9">
        <v>80</v>
      </c>
      <c r="EG9" t="s">
        <v>361</v>
      </c>
      <c r="EH9">
        <v>80</v>
      </c>
      <c r="EJ9" t="s">
        <v>361</v>
      </c>
      <c r="EK9">
        <v>80</v>
      </c>
      <c r="EM9" t="s">
        <v>263</v>
      </c>
      <c r="EN9" t="s">
        <v>263</v>
      </c>
      <c r="EO9" t="s">
        <v>263</v>
      </c>
      <c r="EP9" t="s">
        <v>263</v>
      </c>
      <c r="EQ9" t="s">
        <v>263</v>
      </c>
      <c r="ES9" t="s">
        <v>263</v>
      </c>
      <c r="ET9" t="s">
        <v>263</v>
      </c>
      <c r="EU9" t="s">
        <v>263</v>
      </c>
      <c r="EV9" t="s">
        <v>263</v>
      </c>
      <c r="EW9" t="s">
        <v>263</v>
      </c>
      <c r="FE9" t="s">
        <v>78</v>
      </c>
      <c r="FF9">
        <v>350</v>
      </c>
      <c r="FG9" t="s">
        <v>78</v>
      </c>
      <c r="FH9" t="str">
        <f>IF(Wycena!$C$20="-","",FG9)</f>
        <v/>
      </c>
      <c r="FI9" t="str">
        <f t="array" ref="FI9">IF(ROWS($FH$3:FH9)&gt;(ROWS($FH$3:$FH$14)-COUNTBLANK($FH$3:$FH$14)),"",INDEX($FH$3:$FH$14,SMALL(IF($FH$3:$FH$14&lt;&gt;"",ROW($FH$3:$FH$14)-2),ROWS($FH$3:FH9))))</f>
        <v/>
      </c>
      <c r="FJ9" t="s">
        <v>78</v>
      </c>
      <c r="FK9" t="str">
        <f>IF(Wycena!$C$21="-","",FJ9)</f>
        <v/>
      </c>
      <c r="FL9" t="str">
        <f t="array" ref="FL9">IF(ROWS($FK$3:FK9)&gt;(ROWS($FK$3:$FK$14)-COUNTBLANK($FK$3:$FK$14)),"",INDEX($FK$3:$FK$14,SMALL(IF($FK$3:$FK$14&lt;&gt;"",ROW($FK$3:$FK$14)-2),ROWS($FK$3:FK9))))</f>
        <v/>
      </c>
      <c r="FO9">
        <v>6</v>
      </c>
      <c r="FP9" t="str">
        <f>IF(Wycena!$C$20="-","",FO9)</f>
        <v/>
      </c>
      <c r="FQ9" t="str" cm="1">
        <f t="array" ref="FQ9">IF(ROWS($FP$3:FP9)&gt;(ROWS($FP$3:$FP$23)-COUNTBLANK($FP$3:$FP$23)),"",INDEX($FP$3:$FP$23,SMALL(IF($FP$3:$FP$23&lt;&gt;"",ROW($FP$3:$FP$23)-2),ROWS($FP$3:FP9))))</f>
        <v/>
      </c>
      <c r="FR9" t="str">
        <f>IF(Wycena!$C$21="-","",FO9)</f>
        <v/>
      </c>
      <c r="FS9" t="str" cm="1">
        <f t="array" ref="FS9">IF(ROWS($FR$3:FR9)&gt;(ROWS($FR$3:$FR$23)-COUNTBLANK($FR$3:$FR$23)),"",INDEX($FR$3:$FR$23,SMALL(IF($FR$3:$FR$23&lt;&gt;"",ROW($FR$3:$FR$23)-2),ROWS($FR$3:FR9))))</f>
        <v/>
      </c>
      <c r="FT9" t="str">
        <f>IF(Wycena!$C$22="-","",FO9)</f>
        <v/>
      </c>
      <c r="FU9" t="str">
        <f t="array" ref="FU9">IF(ROWS($FT$3:FT9)&gt;(ROWS($FT$3:$FT$23)-COUNTBLANK($FT$3:$FT$23)),"",INDEX($FT$3:$FT$23,SMALL(IF($FT$3:$FT$23&lt;&gt;"",ROW($FT$3:$FT$23)-2),ROWS($FT$3:FT9))))</f>
        <v/>
      </c>
      <c r="FV9" t="s">
        <v>263</v>
      </c>
      <c r="FW9" t="s">
        <v>803</v>
      </c>
      <c r="FX9" s="8">
        <v>6200</v>
      </c>
      <c r="FY9" t="str">
        <f ca="1">IFERROR(VLOOKUP(Wycena!C59,OFFSET(FW15,MATCH(Wycena!C59,FW15:FW39,0)+5,0,15,2),2,0),"")</f>
        <v>Automat ADR 5-punktowy z gałką</v>
      </c>
      <c r="FZ9" t="str" cm="1">
        <f t="array" aca="1" ref="FZ9" ca="1">IF(ROWS($FY$3:FY9)&gt;(ROWS($FY$3:$FY$10)-COUNTBLANK($FY$3:$FY$10)),"",INDEX($FY$3:$FY$10,SMALL(IF($FY$3:$FY$10&lt;&gt;"",ROW($FY$3:$FY$10)-2),ROWS($FY$3:FY9))))</f>
        <v>Automat ADR 5-punktowy z gałką</v>
      </c>
      <c r="GA9" t="s">
        <v>438</v>
      </c>
      <c r="GB9">
        <v>250</v>
      </c>
      <c r="GC9" t="s">
        <v>438</v>
      </c>
      <c r="GD9" t="str">
        <f t="shared" si="3"/>
        <v>Klamka AXA Manitoba Plus</v>
      </c>
      <c r="GJ9" t="str">
        <f>IF((HLOOKUP(VLOOKUP(Wycena!$C$59,Mapping!$GI$35:$GJ$43,2,0),$GD$1:$GI$33,2+GK9))=0,"",(HLOOKUP(VLOOKUP(Wycena!$C$59,Mapping!$GI$35:$GJ$43,2,0),$GD$1:$GI$33,2+GK9)))</f>
        <v>Klamka AXA Manitoba Plus</v>
      </c>
      <c r="GK9">
        <v>7</v>
      </c>
      <c r="GL9" t="e">
        <f t="array" ref="GL9">IF(ROWS($GJ$3:GJ9)&gt;(ROWS($GJ$3:$GJ$33)-COUNTBLANK($GJ$3:$GJ$33)),"",INDEX($GJ$3:$GJ$33,SMALL(IF($GJ$3:$GJ$33&lt;&gt;"",ROW($GJ$3:$GJ$33)-2),ROWS($GJ$3:GJ9))))</f>
        <v>#N/A</v>
      </c>
      <c r="GM9" t="s">
        <v>440</v>
      </c>
      <c r="GN9" t="s">
        <v>471</v>
      </c>
      <c r="GP9" t="str">
        <f t="array" aca="1" ref="GP9" ca="1">$GP$3:INDEX($GP$3:$GP$6,(ROWS($GO$3:$GO$6)-COUNTBLANK($GO$3:$GO$6)))</f>
        <v/>
      </c>
      <c r="GQ9" t="str">
        <f>IFERROR(IF(FIND("Vegas",Wycena!$C$61)&gt;0,200,""),"")</f>
        <v/>
      </c>
      <c r="GR9" t="str">
        <f t="array" ref="GR9">IF(ROWS($GQ$3:GQ9)&gt;(ROWS($GQ$3:$GQ$9)-COUNTBLANK($GQ$3:$GQ$9)),"",INDEX($GQ$3:$GQ$9,SMALL(IF($GQ$3:$GQ$9&lt;&gt;"",ROW($GQ$3:$GQ$9)-2),ROWS($GQ$3:GQ9))))</f>
        <v/>
      </c>
      <c r="GU9" t="s">
        <v>263</v>
      </c>
      <c r="GV9" t="s">
        <v>263</v>
      </c>
      <c r="HF9" t="s">
        <v>503</v>
      </c>
      <c r="HG9">
        <v>1600</v>
      </c>
      <c r="HH9">
        <f>IF(Wycena!$C$59=Mapping!$HB$31,-400,0)+HG9</f>
        <v>1600</v>
      </c>
      <c r="HI9" t="str">
        <f>IF(Wycena!$C$6="Brak (pełne)","",HF9)</f>
        <v>W skrzydle, dostawkach i naświetlu</v>
      </c>
      <c r="HJ9" t="str">
        <f>IF(AND(Wycena!$C$20&lt;&gt;"-",Wycena!$C$21&lt;&gt;"-",Wycena!$C$22&lt;&gt;"-"),HI9,"")</f>
        <v/>
      </c>
      <c r="HK9" t="str" cm="1">
        <f t="array" ref="HK9">IF(ROWS($HJ$3:HJ9)&gt;(ROWS($HJ$3:$HJ$13)-COUNTBLANK($HJ$3:$HJ$13)),"",INDEX($HJ$3:$HJ$13,SMALL(IF($HJ$3:$HJ$13&lt;&gt;"",ROW($HJ$3:$HJ$13)-2),ROWS($HJ$3:HJ9))))</f>
        <v/>
      </c>
      <c r="HS9">
        <v>15</v>
      </c>
      <c r="HT9">
        <v>180</v>
      </c>
      <c r="HU9">
        <f>(1+IFERROR(VLOOKUP(Wycena!$C$45,Mapping!$EZ$3:$FC$6,4,1),0)+IFERROR(VLOOKUP(Wycena!$C$49,Mapping!$EZ$3:$FC$6,4,1),0))*HT9</f>
        <v>180</v>
      </c>
      <c r="HW9" t="s">
        <v>526</v>
      </c>
      <c r="HX9">
        <v>200</v>
      </c>
      <c r="HY9">
        <f>(1+IFERROR(VLOOKUP(Wycena!$C$45,Mapping!$EZ$3:$FC$6,4,1),0)+IFERROR(VLOOKUP(Wycena!$C$49,Mapping!$EZ$3:$FC$6,4,1),0))*HX9</f>
        <v>200</v>
      </c>
      <c r="HZ9">
        <v>400</v>
      </c>
      <c r="IA9">
        <f>(1+IFERROR(VLOOKUP(Wycena!$C$45,Mapping!$EZ$3:$FC$6,4,1),0)+IFERROR(VLOOKUP(Wycena!$C$49,Mapping!$EZ$3:$FC$6,4,1),0))*HZ9</f>
        <v>400</v>
      </c>
      <c r="IB9" t="str">
        <f>IF(AND(Wycena!$C$20&lt;&gt;"-",Wycena!$C$21&lt;&gt;"-"),HW9,"")</f>
        <v/>
      </c>
      <c r="IC9" t="str">
        <f t="array" ref="IC9">IF(ROWS($IB$3:IB9)&gt;(ROWS($IB$3:$IB$9)-COUNTBLANK($IB$3:$IB$9)),"",INDEX($IB$3:$IB$9,SMALL(IF($IB$3:$IB$9&lt;&gt;"",ROW($IB$3:$IB$9)-2),ROWS($IB$3:IB9))))</f>
        <v/>
      </c>
      <c r="IH9" t="s">
        <v>539</v>
      </c>
      <c r="II9" s="8">
        <v>500</v>
      </c>
      <c r="IW9" s="11">
        <v>0.06</v>
      </c>
      <c r="IY9" s="8">
        <v>700</v>
      </c>
    </row>
    <row r="10" spans="1:266" x14ac:dyDescent="0.35">
      <c r="A10" t="s">
        <v>85</v>
      </c>
      <c r="B10">
        <v>20</v>
      </c>
      <c r="C10">
        <v>20</v>
      </c>
      <c r="D10">
        <v>20</v>
      </c>
      <c r="E10">
        <v>20</v>
      </c>
      <c r="F10">
        <v>34</v>
      </c>
      <c r="G10">
        <v>34</v>
      </c>
      <c r="H10">
        <f t="shared" si="0"/>
        <v>36</v>
      </c>
      <c r="I10">
        <f t="shared" si="1"/>
        <v>36</v>
      </c>
      <c r="J10" t="s">
        <v>410</v>
      </c>
      <c r="K10">
        <v>3</v>
      </c>
      <c r="M10" t="str">
        <f ca="1">IFERROR(VLOOKUP(Wycena!$C$5,OFFSET(SKU!$B$1,MATCH(Wycena!$C$5,SKU!$B$1:$B$743,0)+6,0,1000,6),5,0),"")</f>
        <v/>
      </c>
      <c r="N10" s="8" t="str">
        <f ca="1">IFERROR(VLOOKUP(Wycena!$C$5,OFFSET(SKU!$B$1,MATCH(Wycena!$C$5,SKU!$B$1:$B$743,0)+6,0,1000,6),2,0)-VLOOKUP(Wycena!$C$5,SKU!$B$1:$C$743,2,0),"")</f>
        <v/>
      </c>
      <c r="O10" t="str" cm="1">
        <f t="array" aca="1" ref="O10" ca="1">IF(ROWS($M$3:M10)&gt;(ROWS($M$3:$M$10)-COUNTBLANK($M$3:$M$10)),"",INDEX($M$3:$M$10,SMALL(IF($M$3:$M$10&lt;&gt;"",ROW($M$3:$M$10)-2),ROWS($M$3:M10))))</f>
        <v/>
      </c>
      <c r="Y10" t="s">
        <v>808</v>
      </c>
      <c r="AA10" t="str">
        <f t="shared" si="2"/>
        <v>Montana</v>
      </c>
      <c r="AB10" t="str">
        <f>AA10</f>
        <v>Montana</v>
      </c>
      <c r="AC10" t="e" cm="1">
        <f t="array" ref="AC10">IF(ROWS($AB$3:AB10)&gt;(ROWS($AB$3:$AB$229)-COUNTBLANK($AB$3:$AB$229)),"",INDEX($AB$3:$AB$229,SMALL(IF($AB$3:$AB$229&lt;&gt;"",ROW($AB$3:$AB$229)-2),ROWS($AB$3:AB10))))</f>
        <v>#N/A</v>
      </c>
      <c r="AK10" t="e">
        <f t="array" ref="AK10">$AK$3:INDEX($AK$3:$AK$7,(ROWS($AI$3:$AI$7)-COUNTBLANK($AI$3:$AI$7)))</f>
        <v>#N/A</v>
      </c>
      <c r="AX10">
        <v>79</v>
      </c>
      <c r="AY10">
        <v>0</v>
      </c>
      <c r="AZ10">
        <v>0</v>
      </c>
      <c r="BA10">
        <f>IF(Wycena!$C$16=78,Mapping!AY10,AZ10)</f>
        <v>0</v>
      </c>
      <c r="BD10">
        <v>187</v>
      </c>
      <c r="BE10">
        <v>0</v>
      </c>
      <c r="BF10">
        <v>0</v>
      </c>
      <c r="BG10">
        <f>IF(Wycena!$C$16=78,Mapping!BE10,BF10)</f>
        <v>0</v>
      </c>
      <c r="BS10" t="e">
        <f t="array" ref="BS10:BS15">$BS$3:INDEX($BS$3:$BS$8,(ROWS($BR$3:$BR$8)-COUNTBLANK($BR$3:$BR$8)))</f>
        <v>#N/A</v>
      </c>
      <c r="CA10" t="s">
        <v>237</v>
      </c>
      <c r="CB10">
        <v>400</v>
      </c>
      <c r="CC10" t="e">
        <f>CB10*(1+IFERROR(VLOOKUP(Wycena!$C$45,Mapping!$EZ$3:$FC$6,4,1),0)+IFERROR(VLOOKUP(Wycena!$C$49,Mapping!$EZ$3:$FC$6,4,1),0))*(1+VLOOKUP(Wycena!$C$54,Mapping!$BW$3:$BX$6,2,1))</f>
        <v>#N/A</v>
      </c>
      <c r="CD10" t="str">
        <f>IF(Wycena!$C$22="Imitacja skrzydła",CA9,"")</f>
        <v/>
      </c>
      <c r="CE10" t="str">
        <f>IF(Wycena!$C$22="-","",CD10)</f>
        <v/>
      </c>
      <c r="CF10" t="str" cm="1">
        <f t="array" ref="CF10">IF(ROWS($CE$3:CE10)&gt;(ROWS($CE$3:$CE$13)-COUNTBLANK($CE$3:$CE$13)),"",INDEX($CE$3:$CE$13,SMALL(IF($CE$3:$CE$13&lt;&gt;"",ROW($CE$3:$CE$13)-2),ROWS($CE$3:CE10))))</f>
        <v/>
      </c>
      <c r="CO10" t="s">
        <v>333</v>
      </c>
      <c r="CP10">
        <f>1200+((IF(OR(Wycena!$C$20="W ościeżnicy nowoczesna",Wycena!$C$20="W ościeżnicy tradycyjna"),1,0))+(IF(OR(Wycena!$C$21="W ościeżnicy nowoczesna",Wycena!$C$21="W ościeżnicy tradycyjna"),1,0)))*600</f>
        <v>1200</v>
      </c>
      <c r="CQ10" t="str">
        <f>IF(Wycena!$C$25="Krosnowa","",CO10)</f>
        <v>Przy skrzydle, naświetlu i ościeżnicy od zewnątrz</v>
      </c>
      <c r="CR10" t="str">
        <f>IF(Wycena!$C$14="Bezprzylgowe Glass","",CQ10)</f>
        <v>Przy skrzydle, naświetlu i ościeżnicy od zewnątrz</v>
      </c>
      <c r="CS10" t="str">
        <f>IF(OR(Wycena!$C$20="W ościeżnicy nowoczesna",Wycena!$C$20="W ościeżnicy tradycyjna",Wycena!$C$21="W ościeżnicy nowoczesna",Wycena!$C$21="W ościeżnicy tradycyjna"),CR10,"")</f>
        <v/>
      </c>
      <c r="CT10" t="str">
        <f>IF(Wycena!$C$22="W ościeżnicy",CS10,"")</f>
        <v/>
      </c>
      <c r="CU10" t="str" cm="1">
        <f t="array" ref="CU10">IF(ROWS($CT$3:CT10)&gt;(ROWS($CT$3:$CT$11)-COUNTBLANK($CT$3:$CT$11)),"",INDEX($CT$3:$CT$11,SMALL(IF($CT$3:$CT$11&lt;&gt;"",ROW($CT$3:$CT$11)-2),ROWS($CT$3:CT10))))</f>
        <v/>
      </c>
      <c r="CY10" t="s">
        <v>294</v>
      </c>
      <c r="CZ10">
        <v>8</v>
      </c>
      <c r="DA10">
        <v>12</v>
      </c>
      <c r="DB10">
        <f>IF(DA10&gt;=VLOOKUP(Wycena!$C$14,Mapping!$CY$3:$CZ$5,2,0),DA10,"")</f>
        <v>12</v>
      </c>
      <c r="DC10" cm="1">
        <f t="array" ref="DC10">IF(ROWS($DB$3:DB10)&gt;(ROWS($DB$3:$DB$28)-COUNTBLANK($DB$3:$DB$28)),"",INDEX($DB$3:$DB$28,SMALL(IF($DB$3:$DB$28&lt;&gt;"",ROW($DB$3:$DB$28)-2),ROWS($DB$3:DB10))))</f>
        <v>13</v>
      </c>
      <c r="DG10" t="s">
        <v>294</v>
      </c>
      <c r="DH10">
        <v>8</v>
      </c>
      <c r="DI10">
        <v>8</v>
      </c>
      <c r="DK10">
        <v>12</v>
      </c>
      <c r="DL10">
        <f>IF(DK10&gt;=VLOOKUP(Wycena!$C$14,Mapping!$DG$3:$DH$5,2,0),DK10,"")</f>
        <v>12</v>
      </c>
      <c r="DM10" cm="1">
        <f t="array" ref="DM10">IF(ROWS($DL$3:DL10)&gt;(ROWS($DL$3:$DL$28)-COUNTBLANK($DL$3:$DL$28)),"",INDEX($DL$3:$DL$28,SMALL(IF($DL$3:$DL$28&lt;&gt;"",ROW($DL$3:$DL$28)-2),ROWS($DL$3:DL10))))</f>
        <v>13</v>
      </c>
      <c r="DN10">
        <f>IF(DK10&gt;=VLOOKUP(Wycena!$C$14,Mapping!$DG$3:$DI$5,3,0),DK10,"")</f>
        <v>12</v>
      </c>
      <c r="DO10" cm="1">
        <f t="array" ref="DO10">IF(ROWS($DN$3:DN10)&gt;(ROWS($DN$3:$DN$28)-COUNTBLANK($DN$3:$DN$28)),"",INDEX($DN$3:$DN$28,SMALL(IF($DN$3:$DN$28&lt;&gt;"",ROW($DN$3:$DN$28)-2),ROWS($DN$3:DN10))))</f>
        <v>13</v>
      </c>
      <c r="DS10">
        <v>12</v>
      </c>
      <c r="DT10">
        <f>IF(DS10&gt;=VLOOKUP(Wycena!$C$25,Mapping!$DQ$3:$DR$4,2,0),DS10,"")</f>
        <v>12</v>
      </c>
      <c r="DU10" cm="1">
        <f t="array" ref="DU10">IF(ROWS($DT$3:DT10)&gt;(ROWS($DT$3:$DT$28)-COUNTBLANK($DT$3:$DT$28)),"",INDEX($DT$3:$DT$28,SMALL(IF($DT$3:$DT$28&lt;&gt;"",ROW($DT$3:$DT$28)-2),ROWS($DT$3:DT10))))</f>
        <v>17</v>
      </c>
      <c r="DW10">
        <v>7</v>
      </c>
      <c r="FE10" t="s">
        <v>236</v>
      </c>
      <c r="FF10">
        <v>600</v>
      </c>
      <c r="FG10" t="str">
        <f>IF(OR(Wycena!$C$20="Imitacja skrzydła stała",Wycena!$C$20="Imitacja skrzydła ruchoma"),FE10,"")</f>
        <v/>
      </c>
      <c r="FH10" t="str">
        <f>IF(Wycena!$C$20="-","",FG10)</f>
        <v/>
      </c>
      <c r="FI10" t="str">
        <f t="array" ref="FI10">IF(ROWS($FH$3:FH10)&gt;(ROWS($FH$3:$FH$14)-COUNTBLANK($FH$3:$FH$14)),"",INDEX($FH$3:$FH$14,SMALL(IF($FH$3:$FH$14&lt;&gt;"",ROW($FH$3:$FH$14)-2),ROWS($FH$3:FH10))))</f>
        <v/>
      </c>
      <c r="FJ10" t="str">
        <f>IF(OR(Wycena!$C$21="Imitacja skrzydła stała",Wycena!$C$21="Imitacja skrzydła ruchoma"),FE10,"")</f>
        <v/>
      </c>
      <c r="FK10" t="str">
        <f>IF(Wycena!$C$21="-","",FJ10)</f>
        <v/>
      </c>
      <c r="FL10" t="str">
        <f t="array" ref="FL10">IF(ROWS($FK$3:FK10)&gt;(ROWS($FK$3:$FK$14)-COUNTBLANK($FK$3:$FK$14)),"",INDEX($FK$3:$FK$14,SMALL(IF($FK$3:$FK$14&lt;&gt;"",ROW($FK$3:$FK$14)-2),ROWS($FK$3:FK10))))</f>
        <v/>
      </c>
      <c r="FO10">
        <v>7</v>
      </c>
      <c r="FP10" t="str">
        <f>IF(Wycena!$C$20="-","",FO10)</f>
        <v/>
      </c>
      <c r="FQ10" t="str" cm="1">
        <f t="array" ref="FQ10">IF(ROWS($FP$3:FP10)&gt;(ROWS($FP$3:$FP$23)-COUNTBLANK($FP$3:$FP$23)),"",INDEX($FP$3:$FP$23,SMALL(IF($FP$3:$FP$23&lt;&gt;"",ROW($FP$3:$FP$23)-2),ROWS($FP$3:FP10))))</f>
        <v/>
      </c>
      <c r="FR10" t="str">
        <f>IF(Wycena!$C$21="-","",FO10)</f>
        <v/>
      </c>
      <c r="FS10" t="str" cm="1">
        <f t="array" ref="FS10">IF(ROWS($FR$3:FR10)&gt;(ROWS($FR$3:$FR$23)-COUNTBLANK($FR$3:$FR$23)),"",INDEX($FR$3:$FR$23,SMALL(IF($FR$3:$FR$23&lt;&gt;"",ROW($FR$3:$FR$23)-2),ROWS($FR$3:FR10))))</f>
        <v/>
      </c>
      <c r="FT10" t="str">
        <f>IF(Wycena!$C$22="-","",FO10)</f>
        <v/>
      </c>
      <c r="FU10" t="str">
        <f t="array" ref="FU10">IF(ROWS($FT$3:FT10)&gt;(ROWS($FT$3:$FT$23)-COUNTBLANK($FT$3:$FT$23)),"",INDEX($FT$3:$FT$23,SMALL(IF($FT$3:$FT$23&lt;&gt;"",ROW($FT$3:$FT$23)-2),ROWS($FT$3:FT10))))</f>
        <v/>
      </c>
      <c r="FV10" t="s">
        <v>263</v>
      </c>
      <c r="FW10" t="s">
        <v>804</v>
      </c>
      <c r="FX10" s="8">
        <v>5900</v>
      </c>
      <c r="FY10" t="str">
        <f ca="1">IFERROR(VLOOKUP(Wycena!C59,OFFSET(FW15,MATCH(Wycena!C59,FW15:FW39,0)+6,0,15,2),2,0),"")</f>
        <v>Automat ADR 5-punktowy bez gałki</v>
      </c>
      <c r="FZ10" t="str" cm="1">
        <f t="array" aca="1" ref="FZ10" ca="1">IF(ROWS($FY$3:FY10)&gt;(ROWS($FY$3:$FY$10)-COUNTBLANK($FY$3:$FY$10)),"",INDEX($FY$3:$FY$10,SMALL(IF($FY$3:$FY$10&lt;&gt;"",ROW($FY$3:$FY$10)-2),ROWS($FY$3:FY10))))</f>
        <v>Automat ADR 5-punktowy bez gałki</v>
      </c>
      <c r="GA10" t="s">
        <v>439</v>
      </c>
      <c r="GB10">
        <v>250</v>
      </c>
      <c r="GC10" t="s">
        <v>439</v>
      </c>
      <c r="GD10" t="str">
        <f t="shared" si="3"/>
        <v>Klamka AXA Niagara Plus</v>
      </c>
      <c r="GJ10" t="str">
        <f>IF((HLOOKUP(VLOOKUP(Wycena!$C$59,Mapping!$GI$35:$GJ$43,2,0),$GD$1:$GI$33,2+GK10))=0,"",(HLOOKUP(VLOOKUP(Wycena!$C$59,Mapping!$GI$35:$GJ$43,2,0),$GD$1:$GI$33,2+GK10)))</f>
        <v>Klamka AXA Niagara Plus</v>
      </c>
      <c r="GK10">
        <v>8</v>
      </c>
      <c r="GL10" t="e">
        <f t="array" ref="GL10">IF(ROWS($GJ$3:GJ10)&gt;(ROWS($GJ$3:$GJ$33)-COUNTBLANK($GJ$3:$GJ$33)),"",INDEX($GJ$3:$GJ$33,SMALL(IF($GJ$3:$GJ$33&lt;&gt;"",ROW($GJ$3:$GJ$33)-2),ROWS($GJ$3:GJ10))))</f>
        <v>#N/A</v>
      </c>
      <c r="GM10" t="s">
        <v>440</v>
      </c>
      <c r="GN10" t="s">
        <v>470</v>
      </c>
      <c r="GQ10" t="s">
        <v>263</v>
      </c>
      <c r="GR10" t="s">
        <v>263</v>
      </c>
      <c r="HF10" t="s">
        <v>504</v>
      </c>
      <c r="HG10">
        <v>400</v>
      </c>
      <c r="HH10">
        <v>400</v>
      </c>
      <c r="HI10" t="s">
        <v>504</v>
      </c>
      <c r="HJ10" t="str">
        <f>IF(OR(AND(Wycena!$C$20="-",Wycena!$C$21&lt;&gt;"-"),AND(Wycena!$C$21="-",Wycena!$C$20&lt;&gt;"-")),HI10,"")</f>
        <v/>
      </c>
      <c r="HK10" t="str" cm="1">
        <f t="array" ref="HK10">IF(ROWS($HJ$3:HJ10)&gt;(ROWS($HJ$3:$HJ$13)-COUNTBLANK($HJ$3:$HJ$13)),"",INDEX($HJ$3:$HJ$13,SMALL(IF($HJ$3:$HJ$13&lt;&gt;"",ROW($HJ$3:$HJ$13)-2),ROWS($HJ$3:HJ10))))</f>
        <v/>
      </c>
      <c r="HM10" t="s">
        <v>23</v>
      </c>
      <c r="HN10">
        <v>1</v>
      </c>
      <c r="HS10">
        <v>16</v>
      </c>
      <c r="HT10">
        <f>120+110</f>
        <v>230</v>
      </c>
      <c r="HU10">
        <f>(1+IFERROR(VLOOKUP(Wycena!$C$45,Mapping!$EZ$3:$FC$6,4,1),0)+IFERROR(VLOOKUP(Wycena!$C$49,Mapping!$EZ$3:$FC$6,4,1),0))*HT10</f>
        <v>230</v>
      </c>
      <c r="HW10" t="s">
        <v>263</v>
      </c>
      <c r="HX10" t="s">
        <v>263</v>
      </c>
      <c r="HY10" t="s">
        <v>263</v>
      </c>
      <c r="HZ10" t="s">
        <v>263</v>
      </c>
      <c r="IA10" t="s">
        <v>263</v>
      </c>
      <c r="IB10" t="s">
        <v>263</v>
      </c>
      <c r="IC10" t="s">
        <v>263</v>
      </c>
      <c r="IH10" t="s">
        <v>540</v>
      </c>
      <c r="II10" s="8">
        <v>500</v>
      </c>
      <c r="IW10" s="11">
        <v>7.0000000000000007E-2</v>
      </c>
      <c r="IY10" s="8">
        <v>800</v>
      </c>
    </row>
    <row r="11" spans="1:266" x14ac:dyDescent="0.35">
      <c r="A11" t="s">
        <v>86</v>
      </c>
      <c r="B11">
        <v>20</v>
      </c>
      <c r="C11">
        <v>20</v>
      </c>
      <c r="D11">
        <v>20</v>
      </c>
      <c r="E11">
        <v>20</v>
      </c>
      <c r="F11">
        <v>34</v>
      </c>
      <c r="G11">
        <v>34</v>
      </c>
      <c r="H11">
        <f t="shared" si="0"/>
        <v>36</v>
      </c>
      <c r="I11">
        <f t="shared" si="1"/>
        <v>36</v>
      </c>
      <c r="J11" t="s">
        <v>321</v>
      </c>
      <c r="K11">
        <v>5</v>
      </c>
      <c r="M11" t="s">
        <v>263</v>
      </c>
      <c r="N11" t="s">
        <v>263</v>
      </c>
      <c r="O11" t="s">
        <v>263</v>
      </c>
      <c r="T11" t="e">
        <f t="array" ref="T11">$T$3:INDEX($T$3:$T$8,(ROWS($S$3:$S$8)-COUNTBLANK($S$3:$S$8)))</f>
        <v>#N/A</v>
      </c>
      <c r="Y11" t="s">
        <v>280</v>
      </c>
      <c r="Z11">
        <v>0</v>
      </c>
      <c r="AA11" t="str">
        <f t="shared" ref="AA11:AA42" si="4">Y11</f>
        <v>Orzech</v>
      </c>
      <c r="AB11" t="str">
        <f>IF((VLOOKUP(Wycena!$C$7,Mapping!$Q$15:$R$20,2,0))="tak","",AA11)</f>
        <v>Orzech</v>
      </c>
      <c r="AC11" t="e" cm="1">
        <f t="array" ref="AC11">IF(ROWS($AB$3:AB11)&gt;(ROWS($AB$3:$AB$229)-COUNTBLANK($AB$3:$AB$229)),"",INDEX($AB$3:$AB$229,SMALL(IF($AB$3:$AB$229&lt;&gt;"",ROW($AB$3:$AB$229)-2),ROWS($AB$3:AB11))))</f>
        <v>#N/A</v>
      </c>
      <c r="AX11">
        <v>80</v>
      </c>
      <c r="AY11">
        <v>0</v>
      </c>
      <c r="AZ11">
        <v>0</v>
      </c>
      <c r="BA11">
        <f>IF(Wycena!$C$16=78,Mapping!AY11,AZ11)</f>
        <v>0</v>
      </c>
      <c r="BD11">
        <v>188</v>
      </c>
      <c r="BE11">
        <v>0</v>
      </c>
      <c r="BF11">
        <v>0</v>
      </c>
      <c r="BG11">
        <f>IF(Wycena!$C$16=78,Mapping!BE11,BF11)</f>
        <v>0</v>
      </c>
      <c r="BS11" t="e">
        <v>#N/A</v>
      </c>
      <c r="CA11" t="s">
        <v>238</v>
      </c>
      <c r="CB11">
        <v>400</v>
      </c>
      <c r="CC11" t="e">
        <f>CB11*(1+IFERROR(VLOOKUP(Wycena!$C$45,Mapping!$EZ$3:$FC$6,4,1),0)+IFERROR(VLOOKUP(Wycena!$C$49,Mapping!$EZ$3:$FC$6,4,1),0))*(1+VLOOKUP(Wycena!$C$54,Mapping!$BW$3:$BX$6,2,1))</f>
        <v>#N/A</v>
      </c>
      <c r="CD11" t="str">
        <f>IF(Wycena!$C$22="Imitacja skrzydła",CA10,"")</f>
        <v/>
      </c>
      <c r="CE11" t="str">
        <f>IF(Wycena!$C$22="-","",CD11)</f>
        <v/>
      </c>
      <c r="CF11" t="str" cm="1">
        <f t="array" ref="CF11">IF(ROWS($CE$3:CE11)&gt;(ROWS($CE$3:$CE$13)-COUNTBLANK($CE$3:$CE$13)),"",INDEX($CE$3:$CE$13,SMALL(IF($CE$3:$CE$13&lt;&gt;"",ROW($CE$3:$CE$13)-2),ROWS($CE$3:CE11))))</f>
        <v/>
      </c>
      <c r="CO11" t="s">
        <v>332</v>
      </c>
      <c r="CP11">
        <f>1600+((IF(OR(Wycena!$C$20="W ościeżnicy nowoczesna",Wycena!$C$20="W ościeżnicy tradycyjna"),1,0))+(IF(OR(Wycena!$C$21="W ościeżnicy nowoczesna",Wycena!$C$21="W ościeżnicy tradycyjna"),1,0)))*800</f>
        <v>1600</v>
      </c>
      <c r="CQ11" t="str">
        <f>IF(Wycena!$C$25="Krosnowa","",CO11)</f>
        <v>Przy skrzydle, naświetlu i ościeżnicy z dwóch stron</v>
      </c>
      <c r="CR11" t="str">
        <f>IF(Wycena!$C$14="Bezprzylgowe Glass","",CQ11)</f>
        <v>Przy skrzydle, naświetlu i ościeżnicy z dwóch stron</v>
      </c>
      <c r="CS11" t="str">
        <f>IF(OR(Wycena!$C$20="W ościeżnicy nowoczesna",Wycena!$C$20="W ościeżnicy tradycyjna",Wycena!$C$21="W ościeżnicy nowoczesna",Wycena!$C$21="W ościeżnicy tradycyjna"),CR11,"")</f>
        <v/>
      </c>
      <c r="CT11" t="str">
        <f>IF(Wycena!$C$22="W ościeżnicy",CS11,"")</f>
        <v/>
      </c>
      <c r="CU11" t="str" cm="1">
        <f t="array" ref="CU11">IF(ROWS($CT$3:CT11)&gt;(ROWS($CT$3:$CT$11)-COUNTBLANK($CT$3:$CT$11)),"",INDEX($CT$3:$CT$11,SMALL(IF($CT$3:$CT$11&lt;&gt;"",ROW($CT$3:$CT$11)-2),ROWS($CT$3:CT11))))</f>
        <v/>
      </c>
      <c r="DA11">
        <v>13</v>
      </c>
      <c r="DB11">
        <f>IF(DA11&gt;=VLOOKUP(Wycena!$C$14,Mapping!$CY$3:$CZ$5,2,0),DA11,"")</f>
        <v>13</v>
      </c>
      <c r="DC11" cm="1">
        <f t="array" ref="DC11">IF(ROWS($DB$3:DB11)&gt;(ROWS($DB$3:$DB$28)-COUNTBLANK($DB$3:$DB$28)),"",INDEX($DB$3:$DB$28,SMALL(IF($DB$3:$DB$28&lt;&gt;"",ROW($DB$3:$DB$28)-2),ROWS($DB$3:DB11))))</f>
        <v>14</v>
      </c>
      <c r="DK11">
        <v>13</v>
      </c>
      <c r="DL11">
        <f>IF(DK11&gt;=VLOOKUP(Wycena!$C$14,Mapping!$DG$3:$DH$5,2,0),DK11,"")</f>
        <v>13</v>
      </c>
      <c r="DM11" cm="1">
        <f t="array" ref="DM11">IF(ROWS($DL$3:DL11)&gt;(ROWS($DL$3:$DL$28)-COUNTBLANK($DL$3:$DL$28)),"",INDEX($DL$3:$DL$28,SMALL(IF($DL$3:$DL$28&lt;&gt;"",ROW($DL$3:$DL$28)-2),ROWS($DL$3:DL11))))</f>
        <v>14</v>
      </c>
      <c r="DN11">
        <f>IF(DK11&gt;=VLOOKUP(Wycena!$C$14,Mapping!$DG$3:$DI$5,3,0),DK11,"")</f>
        <v>13</v>
      </c>
      <c r="DO11" cm="1">
        <f t="array" ref="DO11">IF(ROWS($DN$3:DN11)&gt;(ROWS($DN$3:$DN$28)-COUNTBLANK($DN$3:$DN$28)),"",INDEX($DN$3:$DN$28,SMALL(IF($DN$3:$DN$28&lt;&gt;"",ROW($DN$3:$DN$28)-2),ROWS($DN$3:DN11))))</f>
        <v>14</v>
      </c>
      <c r="DS11">
        <v>13</v>
      </c>
      <c r="DT11">
        <f>IF(DS11&gt;=VLOOKUP(Wycena!$C$25,Mapping!$DQ$3:$DR$4,2,0),DS11,"")</f>
        <v>13</v>
      </c>
      <c r="DU11" cm="1">
        <f t="array" ref="DU11">IF(ROWS($DT$3:DT11)&gt;(ROWS($DT$3:$DT$28)-COUNTBLANK($DT$3:$DT$28)),"",INDEX($DT$3:$DT$28,SMALL(IF($DT$3:$DT$28&lt;&gt;"",ROW($DT$3:$DT$28)-2),ROWS($DT$3:DT11))))</f>
        <v>18</v>
      </c>
      <c r="DW11">
        <v>8</v>
      </c>
      <c r="EQ11">
        <f t="array" ref="EQ11">$EQ$3:INDEX($EQ$3:$EQ$8,(ROWS($EP$3:$EP$8)-COUNTBLANK($EP$3:$EP$8)))</f>
        <v>90</v>
      </c>
      <c r="EW11">
        <f t="array" ref="EW11">$EW$3:INDEX($EW$3:$EW$8,(ROWS($EV$3:$EV$8)-COUNTBLANK($EV$3:$EV$8)))</f>
        <v>204</v>
      </c>
      <c r="FE11" t="s">
        <v>237</v>
      </c>
      <c r="FF11">
        <v>600</v>
      </c>
      <c r="FG11" t="str">
        <f>IF(OR(Wycena!$C$20="Imitacja skrzydła stała",Wycena!$C$20="Imitacja skrzydła ruchoma"),FE11,"")</f>
        <v/>
      </c>
      <c r="FH11" t="str">
        <f>IF(Wycena!$C$20="-","",FG11)</f>
        <v/>
      </c>
      <c r="FI11" t="str">
        <f t="array" ref="FI11">IF(ROWS($FH$3:FH11)&gt;(ROWS($FH$3:$FH$14)-COUNTBLANK($FH$3:$FH$14)),"",INDEX($FH$3:$FH$14,SMALL(IF($FH$3:$FH$14&lt;&gt;"",ROW($FH$3:$FH$14)-2),ROWS($FH$3:FH11))))</f>
        <v/>
      </c>
      <c r="FJ11" t="str">
        <f>IF(OR(Wycena!$C$21="Imitacja skrzydła stała",Wycena!$C$21="Imitacja skrzydła ruchoma"),FE11,"")</f>
        <v/>
      </c>
      <c r="FK11" t="str">
        <f>IF(Wycena!$C$21="-","",FJ11)</f>
        <v/>
      </c>
      <c r="FL11" t="str">
        <f t="array" ref="FL11">IF(ROWS($FK$3:FK11)&gt;(ROWS($FK$3:$FK$14)-COUNTBLANK($FK$3:$FK$14)),"",INDEX($FK$3:$FK$14,SMALL(IF($FK$3:$FK$14&lt;&gt;"",ROW($FK$3:$FK$14)-2),ROWS($FK$3:FK11))))</f>
        <v/>
      </c>
      <c r="FO11">
        <v>8</v>
      </c>
      <c r="FP11" t="str">
        <f>IF(Wycena!$C$20="-","",FO11)</f>
        <v/>
      </c>
      <c r="FQ11" t="str" cm="1">
        <f t="array" ref="FQ11">IF(ROWS($FP$3:FP11)&gt;(ROWS($FP$3:$FP$23)-COUNTBLANK($FP$3:$FP$23)),"",INDEX($FP$3:$FP$23,SMALL(IF($FP$3:$FP$23&lt;&gt;"",ROW($FP$3:$FP$23)-2),ROWS($FP$3:FP11))))</f>
        <v/>
      </c>
      <c r="FR11" t="str">
        <f>IF(Wycena!$C$21="-","",FO11)</f>
        <v/>
      </c>
      <c r="FS11" t="str" cm="1">
        <f t="array" ref="FS11">IF(ROWS($FR$3:FR11)&gt;(ROWS($FR$3:$FR$23)-COUNTBLANK($FR$3:$FR$23)),"",INDEX($FR$3:$FR$23,SMALL(IF($FR$3:$FR$23&lt;&gt;"",ROW($FR$3:$FR$23)-2),ROWS($FR$3:FR11))))</f>
        <v/>
      </c>
      <c r="FT11" t="str">
        <f>IF(Wycena!$C$22="-","",FO11)</f>
        <v/>
      </c>
      <c r="FU11" t="str">
        <f t="array" ref="FU11">IF(ROWS($FT$3:FT11)&gt;(ROWS($FT$3:$FT$23)-COUNTBLANK($FT$3:$FT$23)),"",INDEX($FT$3:$FT$23,SMALL(IF($FT$3:$FT$23&lt;&gt;"",ROW($FT$3:$FT$23)-2),ROWS($FT$3:FT11))))</f>
        <v/>
      </c>
      <c r="FW11" t="s">
        <v>805</v>
      </c>
      <c r="FX11" s="8">
        <v>6500</v>
      </c>
      <c r="FY11" t="s">
        <v>263</v>
      </c>
      <c r="FZ11" t="s">
        <v>263</v>
      </c>
      <c r="GA11" t="s">
        <v>445</v>
      </c>
      <c r="GB11">
        <v>500</v>
      </c>
      <c r="GC11" t="s">
        <v>445</v>
      </c>
      <c r="GD11" t="str">
        <f t="shared" si="3"/>
        <v>Klamka AXA Prestige Flex</v>
      </c>
      <c r="GJ11" t="str">
        <f>IF((HLOOKUP(VLOOKUP(Wycena!$C$59,Mapping!$GI$35:$GJ$43,2,0),$GD$1:$GI$33,2+GK11))=0,"",(HLOOKUP(VLOOKUP(Wycena!$C$59,Mapping!$GI$35:$GJ$43,2,0),$GD$1:$GI$33,2+GK11)))</f>
        <v>Klamka AXA Prestige Flex</v>
      </c>
      <c r="GK11">
        <v>9</v>
      </c>
      <c r="GL11" t="e">
        <f t="array" ref="GL11">IF(ROWS($GJ$3:GJ11)&gt;(ROWS($GJ$3:$GJ$33)-COUNTBLANK($GJ$3:$GJ$33)),"",INDEX($GJ$3:$GJ$33,SMALL(IF($GJ$3:$GJ$33&lt;&gt;"",ROW($GJ$3:$GJ$33)-2),ROWS($GJ$3:GJ11))))</f>
        <v>#N/A</v>
      </c>
      <c r="GM11" t="s">
        <v>435</v>
      </c>
      <c r="GN11" t="s">
        <v>471</v>
      </c>
      <c r="GV11" t="str">
        <f t="array" ref="GV11">$GV$3:INDEX($GV$3:$GV$8,(ROWS($GU$3:$GU$8)-COUNTBLANK($GU$3:$GU$8)))</f>
        <v>Standard satyna</v>
      </c>
      <c r="HF11" t="s">
        <v>505</v>
      </c>
      <c r="HG11">
        <v>800</v>
      </c>
      <c r="HH11">
        <v>800</v>
      </c>
      <c r="HI11" t="s">
        <v>505</v>
      </c>
      <c r="HJ11" t="str">
        <f>IF(AND(Wycena!$C$20&lt;&gt;"-",Wycena!$C$21&lt;&gt;"-"),HI11,"")</f>
        <v/>
      </c>
      <c r="HK11" t="str" cm="1">
        <f t="array" ref="HK11">IF(ROWS($HJ$3:HJ11)&gt;(ROWS($HJ$3:$HJ$13)-COUNTBLANK($HJ$3:$HJ$13)),"",INDEX($HJ$3:$HJ$13,SMALL(IF($HJ$3:$HJ$13&lt;&gt;"",ROW($HJ$3:$HJ$13)-2),ROWS($HJ$3:HJ11))))</f>
        <v/>
      </c>
      <c r="HM11" t="s">
        <v>314</v>
      </c>
      <c r="HN11">
        <v>0</v>
      </c>
      <c r="HS11">
        <v>18</v>
      </c>
      <c r="HT11">
        <v>240</v>
      </c>
      <c r="HU11">
        <f>(1+IFERROR(VLOOKUP(Wycena!$C$45,Mapping!$EZ$3:$FC$6,4,1),0)+IFERROR(VLOOKUP(Wycena!$C$49,Mapping!$EZ$3:$FC$6,4,1),0))*HT11</f>
        <v>240</v>
      </c>
      <c r="IH11" t="s">
        <v>541</v>
      </c>
      <c r="II11" s="8">
        <v>500</v>
      </c>
      <c r="IW11" s="11">
        <v>0.08</v>
      </c>
      <c r="IY11" s="8">
        <v>900</v>
      </c>
    </row>
    <row r="12" spans="1:266" x14ac:dyDescent="0.35">
      <c r="A12" t="s">
        <v>87</v>
      </c>
      <c r="B12">
        <v>20</v>
      </c>
      <c r="C12">
        <v>20</v>
      </c>
      <c r="D12">
        <v>20</v>
      </c>
      <c r="E12">
        <v>20</v>
      </c>
      <c r="F12">
        <v>34</v>
      </c>
      <c r="G12">
        <v>34</v>
      </c>
      <c r="H12">
        <f t="shared" si="0"/>
        <v>36</v>
      </c>
      <c r="I12">
        <f t="shared" si="1"/>
        <v>36</v>
      </c>
      <c r="J12" t="s">
        <v>393</v>
      </c>
      <c r="K12">
        <v>3</v>
      </c>
      <c r="Y12" t="s">
        <v>794</v>
      </c>
      <c r="Z12">
        <v>0</v>
      </c>
      <c r="AA12" t="str">
        <f t="shared" si="4"/>
        <v>Palisander</v>
      </c>
      <c r="AB12" t="str">
        <f>IF((VLOOKUP(Wycena!$C$7,Mapping!$Q$15:$R$20,2,0))="tak","",AA12)</f>
        <v>Palisander</v>
      </c>
      <c r="AC12" t="e" cm="1">
        <f t="array" ref="AC12">IF(ROWS($AB$3:AB12)&gt;(ROWS($AB$3:$AB$229)-COUNTBLANK($AB$3:$AB$229)),"",INDEX($AB$3:$AB$229,SMALL(IF($AB$3:$AB$229&lt;&gt;"",ROW($AB$3:$AB$229)-2),ROWS($AB$3:AB12))))</f>
        <v>#N/A</v>
      </c>
      <c r="AX12">
        <v>81</v>
      </c>
      <c r="AY12">
        <v>0</v>
      </c>
      <c r="AZ12">
        <v>0</v>
      </c>
      <c r="BA12">
        <f>IF(Wycena!$C$16=78,Mapping!AY12,AZ12)</f>
        <v>0</v>
      </c>
      <c r="BD12">
        <v>189</v>
      </c>
      <c r="BE12">
        <v>0</v>
      </c>
      <c r="BF12">
        <v>0</v>
      </c>
      <c r="BG12">
        <f>IF(Wycena!$C$16=78,Mapping!BE12,BF12)</f>
        <v>0</v>
      </c>
      <c r="BS12" t="e">
        <v>#N/A</v>
      </c>
      <c r="CA12" t="s">
        <v>239</v>
      </c>
      <c r="CB12">
        <v>400</v>
      </c>
      <c r="CC12" t="e">
        <f>CB12*(1+IFERROR(VLOOKUP(Wycena!$C$45,Mapping!$EZ$3:$FC$6,4,1),0)+IFERROR(VLOOKUP(Wycena!$C$49,Mapping!$EZ$3:$FC$6,4,1),0))*(1+VLOOKUP(Wycena!$C$54,Mapping!$BW$3:$BX$6,2,1))</f>
        <v>#N/A</v>
      </c>
      <c r="CD12" t="str">
        <f>IF(Wycena!$C$22="Imitacja skrzydła",CA11,"")</f>
        <v/>
      </c>
      <c r="CE12" t="str">
        <f>IF(Wycena!$C$22="-","",CD12)</f>
        <v/>
      </c>
      <c r="CF12" t="str" cm="1">
        <f t="array" ref="CF12">IF(ROWS($CE$3:CE12)&gt;(ROWS($CE$3:$CE$13)-COUNTBLANK($CE$3:$CE$13)),"",INDEX($CE$3:$CE$13,SMALL(IF($CE$3:$CE$13&lt;&gt;"",ROW($CE$3:$CE$13)-2),ROWS($CE$3:CE12))))</f>
        <v/>
      </c>
      <c r="CO12" t="s">
        <v>263</v>
      </c>
      <c r="CR12" t="s">
        <v>263</v>
      </c>
      <c r="CS12" t="s">
        <v>263</v>
      </c>
      <c r="CT12" t="s">
        <v>263</v>
      </c>
      <c r="CU12" t="s">
        <v>263</v>
      </c>
      <c r="CY12" s="10" t="s">
        <v>336</v>
      </c>
      <c r="CZ12" s="10" t="s">
        <v>349</v>
      </c>
      <c r="DA12">
        <v>14</v>
      </c>
      <c r="DB12">
        <f>IF(DA12&gt;=VLOOKUP(Wycena!$C$14,Mapping!$CY$3:$CZ$5,2,0),DA12,"")</f>
        <v>14</v>
      </c>
      <c r="DC12" cm="1">
        <f t="array" ref="DC12">IF(ROWS($DB$3:DB12)&gt;(ROWS($DB$3:$DB$28)-COUNTBLANK($DB$3:$DB$28)),"",INDEX($DB$3:$DB$28,SMALL(IF($DB$3:$DB$28&lt;&gt;"",ROW($DB$3:$DB$28)-2),ROWS($DB$3:DB12))))</f>
        <v>15</v>
      </c>
      <c r="DG12" s="10" t="s">
        <v>336</v>
      </c>
      <c r="DH12" s="10" t="s">
        <v>349</v>
      </c>
      <c r="DI12" s="10" t="s">
        <v>349</v>
      </c>
      <c r="DK12">
        <v>14</v>
      </c>
      <c r="DL12">
        <f>IF(DK12&gt;=VLOOKUP(Wycena!$C$14,Mapping!$DG$3:$DH$5,2,0),DK12,"")</f>
        <v>14</v>
      </c>
      <c r="DM12" cm="1">
        <f t="array" ref="DM12">IF(ROWS($DL$3:DL12)&gt;(ROWS($DL$3:$DL$28)-COUNTBLANK($DL$3:$DL$28)),"",INDEX($DL$3:$DL$28,SMALL(IF($DL$3:$DL$28&lt;&gt;"",ROW($DL$3:$DL$28)-2),ROWS($DL$3:DL12))))</f>
        <v>15</v>
      </c>
      <c r="DN12">
        <f>IF(DK12&gt;=VLOOKUP(Wycena!$C$14,Mapping!$DG$3:$DI$5,3,0),DK12,"")</f>
        <v>14</v>
      </c>
      <c r="DO12" cm="1">
        <f t="array" ref="DO12">IF(ROWS($DN$3:DN12)&gt;(ROWS($DN$3:$DN$28)-COUNTBLANK($DN$3:$DN$28)),"",INDEX($DN$3:$DN$28,SMALL(IF($DN$3:$DN$28&lt;&gt;"",ROW($DN$3:$DN$28)-2),ROWS($DN$3:DN12))))</f>
        <v>15</v>
      </c>
      <c r="DQ12" s="10" t="s">
        <v>339</v>
      </c>
      <c r="DR12" s="10" t="s">
        <v>349</v>
      </c>
      <c r="DS12">
        <v>14</v>
      </c>
      <c r="DT12">
        <f>IF(DS12&gt;=VLOOKUP(Wycena!$C$25,Mapping!$DQ$3:$DR$4,2,0),DS12,"")</f>
        <v>14</v>
      </c>
      <c r="DU12" cm="1">
        <f t="array" ref="DU12">IF(ROWS($DT$3:DT12)&gt;(ROWS($DT$3:$DT$28)-COUNTBLANK($DT$3:$DT$28)),"",INDEX($DT$3:$DT$28,SMALL(IF($DT$3:$DT$28&lt;&gt;"",ROW($DT$3:$DT$28)-2),ROWS($DT$3:DT12))))</f>
        <v>19</v>
      </c>
      <c r="DW12">
        <v>9</v>
      </c>
      <c r="FE12" t="s">
        <v>238</v>
      </c>
      <c r="FF12">
        <v>600</v>
      </c>
      <c r="FG12" t="str">
        <f>IF(OR(Wycena!$C$20="Imitacja skrzydła stała",Wycena!$C$20="Imitacja skrzydła ruchoma"),FE12,"")</f>
        <v/>
      </c>
      <c r="FH12" t="str">
        <f>IF(Wycena!$C$20="-","",FG12)</f>
        <v/>
      </c>
      <c r="FI12" t="str">
        <f t="array" ref="FI12">IF(ROWS($FH$3:FH12)&gt;(ROWS($FH$3:$FH$14)-COUNTBLANK($FH$3:$FH$14)),"",INDEX($FH$3:$FH$14,SMALL(IF($FH$3:$FH$14&lt;&gt;"",ROW($FH$3:$FH$14)-2),ROWS($FH$3:FH12))))</f>
        <v/>
      </c>
      <c r="FJ12" t="str">
        <f>IF(OR(Wycena!$C$21="Imitacja skrzydła stała",Wycena!$C$21="Imitacja skrzydła ruchoma"),FE12,"")</f>
        <v/>
      </c>
      <c r="FK12" t="str">
        <f>IF(Wycena!$C$21="-","",FJ12)</f>
        <v/>
      </c>
      <c r="FL12" t="str">
        <f t="array" ref="FL12">IF(ROWS($FK$3:FK12)&gt;(ROWS($FK$3:$FK$14)-COUNTBLANK($FK$3:$FK$14)),"",INDEX($FK$3:$FK$14,SMALL(IF($FK$3:$FK$14&lt;&gt;"",ROW($FK$3:$FK$14)-2),ROWS($FK$3:FK12))))</f>
        <v/>
      </c>
      <c r="FO12">
        <v>9</v>
      </c>
      <c r="FP12" t="str">
        <f>IF(Wycena!$C$20="-","",FO12)</f>
        <v/>
      </c>
      <c r="FQ12" t="str" cm="1">
        <f t="array" ref="FQ12">IF(ROWS($FP$3:FP12)&gt;(ROWS($FP$3:$FP$23)-COUNTBLANK($FP$3:$FP$23)),"",INDEX($FP$3:$FP$23,SMALL(IF($FP$3:$FP$23&lt;&gt;"",ROW($FP$3:$FP$23)-2),ROWS($FP$3:FP12))))</f>
        <v/>
      </c>
      <c r="FR12" t="str">
        <f>IF(Wycena!$C$21="-","",FO12)</f>
        <v/>
      </c>
      <c r="FS12" t="str" cm="1">
        <f t="array" ref="FS12">IF(ROWS($FR$3:FR12)&gt;(ROWS($FR$3:$FR$23)-COUNTBLANK($FR$3:$FR$23)),"",INDEX($FR$3:$FR$23,SMALL(IF($FR$3:$FR$23&lt;&gt;"",ROW($FR$3:$FR$23)-2),ROWS($FR$3:FR12))))</f>
        <v/>
      </c>
      <c r="FT12" t="str">
        <f>IF(Wycena!$C$22="-","",FO12)</f>
        <v/>
      </c>
      <c r="FU12" t="str">
        <f t="array" ref="FU12">IF(ROWS($FT$3:FT12)&gt;(ROWS($FT$3:$FT$23)-COUNTBLANK($FT$3:$FT$23)),"",INDEX($FT$3:$FT$23,SMALL(IF($FT$3:$FT$23&lt;&gt;"",ROW($FT$3:$FT$23)-2),ROWS($FT$3:FT12))))</f>
        <v/>
      </c>
      <c r="GA12" t="s">
        <v>437</v>
      </c>
      <c r="GB12">
        <v>250</v>
      </c>
      <c r="GC12" t="s">
        <v>437</v>
      </c>
      <c r="GD12" t="str">
        <f t="shared" si="3"/>
        <v>Klamka AXA Slim Plus</v>
      </c>
      <c r="GJ12" t="str">
        <f>IF((HLOOKUP(VLOOKUP(Wycena!$C$59,Mapping!$GI$35:$GJ$43,2,0),$GD$1:$GI$33,2+GK12))=0,"",(HLOOKUP(VLOOKUP(Wycena!$C$59,Mapping!$GI$35:$GJ$43,2,0),$GD$1:$GI$33,2+GK12)))</f>
        <v>Klamka AXA Slim Plus</v>
      </c>
      <c r="GK12">
        <v>10</v>
      </c>
      <c r="GL12" t="e">
        <f t="array" ref="GL12">IF(ROWS($GJ$3:GJ12)&gt;(ROWS($GJ$3:$GJ$33)-COUNTBLANK($GJ$3:$GJ$33)),"",INDEX($GJ$3:$GJ$33,SMALL(IF($GJ$3:$GJ$33&lt;&gt;"",ROW($GJ$3:$GJ$33)-2),ROWS($GJ$3:GJ12))))</f>
        <v>#N/A</v>
      </c>
      <c r="GM12" t="s">
        <v>435</v>
      </c>
      <c r="GN12" t="s">
        <v>470</v>
      </c>
      <c r="GR12" t="str">
        <f t="array" ref="GR12:GR18">$GR$3:INDEX($GR$3:$GR$9,(ROWS($GQ$3:$GQ$9)-COUNTBLANK($GQ$3:$GQ$9)))</f>
        <v>-</v>
      </c>
      <c r="HF12" t="s">
        <v>506</v>
      </c>
      <c r="HG12">
        <v>800</v>
      </c>
      <c r="HH12">
        <v>800</v>
      </c>
      <c r="HI12" t="s">
        <v>506</v>
      </c>
      <c r="HJ12" t="str">
        <f>IF(OR(AND(Wycena!$C$20="-",Wycena!$C$21&lt;&gt;"-",Wycena!C22&lt;&gt;"-"),AND(Wycena!$C$21="-",Wycena!$C$20&lt;&gt;"-",Wycena!C22&lt;&gt;"-")),HI12,"")</f>
        <v/>
      </c>
      <c r="HK12" t="str" cm="1">
        <f t="array" ref="HK12">IF(ROWS($HJ$3:HJ12)&gt;(ROWS($HJ$3:$HJ$13)-COUNTBLANK($HJ$3:$HJ$13)),"",INDEX($HJ$3:$HJ$13,SMALL(IF($HJ$3:$HJ$13&lt;&gt;"",ROW($HJ$3:$HJ$13)-2),ROWS($HJ$3:HJ12))))</f>
        <v/>
      </c>
      <c r="HM12" t="s">
        <v>313</v>
      </c>
      <c r="HN12">
        <v>1</v>
      </c>
      <c r="HS12">
        <v>19</v>
      </c>
      <c r="HT12">
        <f>110+3*60</f>
        <v>290</v>
      </c>
      <c r="HU12">
        <f>(1+IFERROR(VLOOKUP(Wycena!$C$45,Mapping!$EZ$3:$FC$6,4,1),0)+IFERROR(VLOOKUP(Wycena!$C$49,Mapping!$EZ$3:$FC$6,4,1),0))*HT12</f>
        <v>290</v>
      </c>
      <c r="IC12" t="str">
        <f t="array" ref="IC12">$IC$3:INDEX($IC$3:$IC$9,(ROWS($IB$3:$IB$9)-COUNTBLANK($IB$3:$IB$9)))</f>
        <v>-</v>
      </c>
      <c r="IH12" t="s">
        <v>542</v>
      </c>
      <c r="II12" s="8">
        <v>1000</v>
      </c>
      <c r="IW12" s="11">
        <v>0.09</v>
      </c>
      <c r="IY12" s="8">
        <v>1000</v>
      </c>
    </row>
    <row r="13" spans="1:266" x14ac:dyDescent="0.35">
      <c r="A13" t="s">
        <v>89</v>
      </c>
      <c r="B13">
        <v>20</v>
      </c>
      <c r="C13">
        <v>20</v>
      </c>
      <c r="D13">
        <v>20</v>
      </c>
      <c r="E13">
        <v>20</v>
      </c>
      <c r="F13">
        <v>34</v>
      </c>
      <c r="G13">
        <v>34</v>
      </c>
      <c r="H13">
        <f t="shared" si="0"/>
        <v>36</v>
      </c>
      <c r="I13">
        <f t="shared" si="1"/>
        <v>36</v>
      </c>
      <c r="J13" t="s">
        <v>322</v>
      </c>
      <c r="O13" t="str">
        <f t="array" aca="1" ref="O13" ca="1">$O$3:INDEX($O$3:$O$10,(ROWS($M$3:$M$10)-COUNTBLANK($M$3:$M$10)))</f>
        <v/>
      </c>
      <c r="Q13" s="73"/>
      <c r="Y13" t="s">
        <v>281</v>
      </c>
      <c r="Z13">
        <v>0</v>
      </c>
      <c r="AA13" t="str">
        <f t="shared" si="4"/>
        <v>Teak</v>
      </c>
      <c r="AB13" t="str">
        <f>IF((VLOOKUP(Wycena!$C$7,Mapping!$Q$15:$R$20,2,0))="tak","",AA13)</f>
        <v>Teak</v>
      </c>
      <c r="AC13" t="e" cm="1">
        <f t="array" ref="AC13">IF(ROWS($AB$3:AB13)&gt;(ROWS($AB$3:$AB$229)-COUNTBLANK($AB$3:$AB$229)),"",INDEX($AB$3:$AB$229,SMALL(IF($AB$3:$AB$229&lt;&gt;"",ROW($AB$3:$AB$229)-2),ROWS($AB$3:AB13))))</f>
        <v>#N/A</v>
      </c>
      <c r="AX13">
        <v>82</v>
      </c>
      <c r="AY13">
        <v>0</v>
      </c>
      <c r="AZ13">
        <v>0</v>
      </c>
      <c r="BA13">
        <f>IF(Wycena!$C$16=78,Mapping!AY13,AZ13)</f>
        <v>0</v>
      </c>
      <c r="BD13">
        <v>190</v>
      </c>
      <c r="BE13">
        <v>0</v>
      </c>
      <c r="BF13">
        <v>0</v>
      </c>
      <c r="BG13">
        <f>IF(Wycena!$C$16=78,Mapping!BE13,BF13)</f>
        <v>0</v>
      </c>
      <c r="BS13" t="e">
        <v>#N/A</v>
      </c>
      <c r="CA13" t="s">
        <v>263</v>
      </c>
      <c r="CB13" t="s">
        <v>263</v>
      </c>
      <c r="CD13" t="str">
        <f>IF(Wycena!$C$22="Imitacja skrzydła",CA12,"")</f>
        <v/>
      </c>
      <c r="CE13" t="str">
        <f>IF(Wycena!$C$22="-","",CD13)</f>
        <v/>
      </c>
      <c r="CF13" t="str" cm="1">
        <f t="array" ref="CF13">IF(ROWS($CE$3:CE13)&gt;(ROWS($CE$3:$CE$13)-COUNTBLANK($CE$3:$CE$13)),"",INDEX($CE$3:$CE$13,SMALL(IF($CE$3:$CE$13&lt;&gt;"",ROW($CE$3:$CE$13)-2),ROWS($CE$3:CE13))))</f>
        <v/>
      </c>
      <c r="CY13" t="s">
        <v>18</v>
      </c>
      <c r="CZ13">
        <v>26</v>
      </c>
      <c r="DA13">
        <v>15</v>
      </c>
      <c r="DB13">
        <f>IF(DA13&gt;=VLOOKUP(Wycena!$C$14,Mapping!$CY$3:$CZ$5,2,0),DA13,"")</f>
        <v>15</v>
      </c>
      <c r="DC13" cm="1">
        <f t="array" ref="DC13">IF(ROWS($DB$3:DB13)&gt;(ROWS($DB$3:$DB$28)-COUNTBLANK($DB$3:$DB$28)),"",INDEX($DB$3:$DB$28,SMALL(IF($DB$3:$DB$28&lt;&gt;"",ROW($DB$3:$DB$28)-2),ROWS($DB$3:DB13))))</f>
        <v>16</v>
      </c>
      <c r="DG13" t="s">
        <v>18</v>
      </c>
      <c r="DH13">
        <v>26</v>
      </c>
      <c r="DI13">
        <v>26</v>
      </c>
      <c r="DK13">
        <v>15</v>
      </c>
      <c r="DL13">
        <f>IF(DK13&gt;=VLOOKUP(Wycena!$C$14,Mapping!$DG$3:$DH$5,2,0),DK13,"")</f>
        <v>15</v>
      </c>
      <c r="DM13" cm="1">
        <f t="array" ref="DM13">IF(ROWS($DL$3:DL13)&gt;(ROWS($DL$3:$DL$28)-COUNTBLANK($DL$3:$DL$28)),"",INDEX($DL$3:$DL$28,SMALL(IF($DL$3:$DL$28&lt;&gt;"",ROW($DL$3:$DL$28)-2),ROWS($DL$3:DL13))))</f>
        <v>16</v>
      </c>
      <c r="DN13">
        <f>IF(DK13&gt;=VLOOKUP(Wycena!$C$14,Mapping!$DG$3:$DI$5,3,0),DK13,"")</f>
        <v>15</v>
      </c>
      <c r="DO13" cm="1">
        <f t="array" ref="DO13">IF(ROWS($DN$3:DN13)&gt;(ROWS($DN$3:$DN$28)-COUNTBLANK($DN$3:$DN$28)),"",INDEX($DN$3:$DN$28,SMALL(IF($DN$3:$DN$28&lt;&gt;"",ROW($DN$3:$DN$28)-2),ROWS($DN$3:DN13))))</f>
        <v>16</v>
      </c>
      <c r="DQ13" t="s">
        <v>343</v>
      </c>
      <c r="DR13">
        <v>18</v>
      </c>
      <c r="DS13">
        <v>15</v>
      </c>
      <c r="DT13">
        <f>IF(DS13&gt;=VLOOKUP(Wycena!$C$25,Mapping!$DQ$3:$DR$4,2,0),DS13,"")</f>
        <v>15</v>
      </c>
      <c r="DU13" cm="1">
        <f t="array" ref="DU13">IF(ROWS($DT$3:DT13)&gt;(ROWS($DT$3:$DT$28)-COUNTBLANK($DT$3:$DT$28)),"",INDEX($DT$3:$DT$28,SMALL(IF($DT$3:$DT$28&lt;&gt;"",ROW($DT$3:$DT$28)-2),ROWS($DT$3:DT13))))</f>
        <v>20</v>
      </c>
      <c r="DW13">
        <v>10</v>
      </c>
      <c r="FE13" t="s">
        <v>239</v>
      </c>
      <c r="FF13">
        <v>600</v>
      </c>
      <c r="FG13" t="str">
        <f>IF(OR(Wycena!$C$20="Imitacja skrzydła stała",Wycena!$C$20="Imitacja skrzydła ruchoma"),FE13,"")</f>
        <v/>
      </c>
      <c r="FH13" t="str">
        <f>IF(Wycena!$C$20="-","",FG13)</f>
        <v/>
      </c>
      <c r="FI13" t="str">
        <f t="array" ref="FI13">IF(ROWS($FH$3:FH13)&gt;(ROWS($FH$3:$FH$14)-COUNTBLANK($FH$3:$FH$14)),"",INDEX($FH$3:$FH$14,SMALL(IF($FH$3:$FH$14&lt;&gt;"",ROW($FH$3:$FH$14)-2),ROWS($FH$3:FH13))))</f>
        <v/>
      </c>
      <c r="FJ13" t="str">
        <f>IF(OR(Wycena!$C$21="Imitacja skrzydła stała",Wycena!$C$21="Imitacja skrzydła ruchoma"),FE13,"")</f>
        <v/>
      </c>
      <c r="FK13" t="str">
        <f>IF(Wycena!$C$21="-","",FJ13)</f>
        <v/>
      </c>
      <c r="FL13" t="str">
        <f t="array" ref="FL13">IF(ROWS($FK$3:FK13)&gt;(ROWS($FK$3:$FK$14)-COUNTBLANK($FK$3:$FK$14)),"",INDEX($FK$3:$FK$14,SMALL(IF($FK$3:$FK$14&lt;&gt;"",ROW($FK$3:$FK$14)-2),ROWS($FK$3:FK13))))</f>
        <v/>
      </c>
      <c r="FO13">
        <v>10</v>
      </c>
      <c r="FP13" t="str">
        <f>IF(Wycena!$C$20="-","",FO13)</f>
        <v/>
      </c>
      <c r="FQ13" t="str" cm="1">
        <f t="array" ref="FQ13">IF(ROWS($FP$3:FP13)&gt;(ROWS($FP$3:$FP$23)-COUNTBLANK($FP$3:$FP$23)),"",INDEX($FP$3:$FP$23,SMALL(IF($FP$3:$FP$23&lt;&gt;"",ROW($FP$3:$FP$23)-2),ROWS($FP$3:FP13))))</f>
        <v/>
      </c>
      <c r="FR13" t="str">
        <f>IF(Wycena!$C$21="-","",FO13)</f>
        <v/>
      </c>
      <c r="FS13" t="str" cm="1">
        <f t="array" ref="FS13">IF(ROWS($FR$3:FR13)&gt;(ROWS($FR$3:$FR$23)-COUNTBLANK($FR$3:$FR$23)),"",INDEX($FR$3:$FR$23,SMALL(IF($FR$3:$FR$23&lt;&gt;"",ROW($FR$3:$FR$23)-2),ROWS($FR$3:FR13))))</f>
        <v/>
      </c>
      <c r="FT13" t="str">
        <f>IF(Wycena!$C$22="-","",FO13)</f>
        <v/>
      </c>
      <c r="FU13" t="str">
        <f t="array" ref="FU13">IF(ROWS($FT$3:FT13)&gt;(ROWS($FT$3:$FT$23)-COUNTBLANK($FT$3:$FT$23)),"",INDEX($FT$3:$FT$23,SMALL(IF($FT$3:$FT$23&lt;&gt;"",ROW($FT$3:$FT$23)-2),ROWS($FT$3:FT13))))</f>
        <v/>
      </c>
      <c r="FZ13" t="str">
        <f t="array" aca="1" ref="FZ13" ca="1">$FZ$3:INDEX($FZ$3:$FZ$10,(ROWS($FY$3:$FY$10)-COUNTBLANK($FY$3:$FY$10)))</f>
        <v>Ryglowy 3-punktowy z gałką (standard)</v>
      </c>
      <c r="GA13" t="s">
        <v>810</v>
      </c>
      <c r="GB13">
        <v>250</v>
      </c>
      <c r="GC13" t="s">
        <v>810</v>
      </c>
      <c r="GD13" t="str">
        <f t="shared" si="3"/>
        <v>Klamko - gałka Medos Warszawa</v>
      </c>
      <c r="GJ13" t="str">
        <f>IF((HLOOKUP(VLOOKUP(Wycena!$C$59,Mapping!$GI$35:$GJ$43,2,0),$GD$1:$GI$33,2+GK13))=0,"",(HLOOKUP(VLOOKUP(Wycena!$C$59,Mapping!$GI$35:$GJ$43,2,0),$GD$1:$GI$33,2+GK13)))</f>
        <v>Klamko - gałka Medos Warszawa</v>
      </c>
      <c r="GK13">
        <v>11</v>
      </c>
      <c r="GL13" t="e">
        <f t="array" ref="GL13">IF(ROWS($GJ$3:GJ13)&gt;(ROWS($GJ$3:$GJ$33)-COUNTBLANK($GJ$3:$GJ$33)),"",INDEX($GJ$3:$GJ$33,SMALL(IF($GJ$3:$GJ$33&lt;&gt;"",ROW($GJ$3:$GJ$33)-2),ROWS($GJ$3:GJ13))))</f>
        <v>#N/A</v>
      </c>
      <c r="GM13" t="s">
        <v>446</v>
      </c>
      <c r="GN13" t="s">
        <v>466</v>
      </c>
      <c r="GR13" t="str">
        <v>-</v>
      </c>
      <c r="HF13" t="s">
        <v>507</v>
      </c>
      <c r="HG13">
        <v>1200</v>
      </c>
      <c r="HH13">
        <v>1200</v>
      </c>
      <c r="HI13" t="s">
        <v>507</v>
      </c>
      <c r="HJ13" t="str">
        <f>IF(AND(Wycena!$C$20&lt;&gt;"-",Wycena!$C$21&lt;&gt;"-",Wycena!$C$22&lt;&gt;"-"),HI13,"")</f>
        <v/>
      </c>
      <c r="HK13" t="str" cm="1">
        <f t="array" ref="HK13">IF(ROWS($HJ$3:HJ13)&gt;(ROWS($HJ$3:$HJ$13)-COUNTBLANK($HJ$3:$HJ$13)),"",INDEX($HJ$3:$HJ$13,SMALL(IF($HJ$3:$HJ$13&lt;&gt;"",ROW($HJ$3:$HJ$13)-2),ROWS($HJ$3:HJ13))))</f>
        <v/>
      </c>
      <c r="HM13" t="s">
        <v>315</v>
      </c>
      <c r="HN13">
        <v>0</v>
      </c>
      <c r="HS13">
        <v>20</v>
      </c>
      <c r="HT13">
        <v>220</v>
      </c>
      <c r="HU13">
        <f>(1+IFERROR(VLOOKUP(Wycena!$C$45,Mapping!$EZ$3:$FC$6,4,1),0)+IFERROR(VLOOKUP(Wycena!$C$49,Mapping!$EZ$3:$FC$6,4,1),0))*HT13</f>
        <v>220</v>
      </c>
      <c r="IH13" t="s">
        <v>543</v>
      </c>
      <c r="II13" s="8">
        <v>1150</v>
      </c>
      <c r="IW13" s="11">
        <v>0.1</v>
      </c>
      <c r="IY13" s="8">
        <v>1100</v>
      </c>
    </row>
    <row r="14" spans="1:266" x14ac:dyDescent="0.35">
      <c r="A14" t="s">
        <v>90</v>
      </c>
      <c r="B14">
        <v>20</v>
      </c>
      <c r="C14">
        <v>20</v>
      </c>
      <c r="D14">
        <v>20</v>
      </c>
      <c r="E14">
        <v>20</v>
      </c>
      <c r="F14">
        <v>50</v>
      </c>
      <c r="G14">
        <v>50</v>
      </c>
      <c r="H14">
        <v>50</v>
      </c>
      <c r="I14">
        <v>50</v>
      </c>
      <c r="Q14" s="73" t="s">
        <v>826</v>
      </c>
      <c r="Y14" t="s">
        <v>282</v>
      </c>
      <c r="Z14">
        <v>0</v>
      </c>
      <c r="AA14" t="str">
        <f t="shared" si="4"/>
        <v>Vintage oak</v>
      </c>
      <c r="AB14" t="str">
        <f>IF((VLOOKUP(Wycena!$C$7,Mapping!$Q$15:$R$20,2,0))="tak","",AA14)</f>
        <v>Vintage oak</v>
      </c>
      <c r="AC14" t="e" cm="1">
        <f t="array" ref="AC14">IF(ROWS($AB$3:AB14)&gt;(ROWS($AB$3:$AB$229)-COUNTBLANK($AB$3:$AB$229)),"",INDEX($AB$3:$AB$229,SMALL(IF($AB$3:$AB$229&lt;&gt;"",ROW($AB$3:$AB$229)-2),ROWS($AB$3:AB14))))</f>
        <v>#N/A</v>
      </c>
      <c r="AX14">
        <v>83</v>
      </c>
      <c r="AY14">
        <v>0</v>
      </c>
      <c r="AZ14">
        <v>0</v>
      </c>
      <c r="BA14">
        <f>IF(Wycena!$C$16=78,Mapping!AY14,AZ14)</f>
        <v>0</v>
      </c>
      <c r="BD14">
        <v>191</v>
      </c>
      <c r="BE14">
        <v>0</v>
      </c>
      <c r="BF14">
        <v>0</v>
      </c>
      <c r="BG14">
        <f>IF(Wycena!$C$16=78,Mapping!BE14,BF14)</f>
        <v>0</v>
      </c>
      <c r="BS14" t="e">
        <v>#N/A</v>
      </c>
      <c r="CD14" t="s">
        <v>263</v>
      </c>
      <c r="CE14" t="s">
        <v>263</v>
      </c>
      <c r="CF14" t="s">
        <v>263</v>
      </c>
      <c r="CU14" t="str">
        <f t="array" ref="CU14">$CU$3:INDEX($CU$3:$CU$11,(ROWS($CT$3:$CT$11)-COUNTBLANK($CT$3:$CT$11)))</f>
        <v>-</v>
      </c>
      <c r="CY14" t="s">
        <v>293</v>
      </c>
      <c r="CZ14">
        <v>26</v>
      </c>
      <c r="DA14">
        <v>16</v>
      </c>
      <c r="DB14">
        <f>IF(DA14&gt;=VLOOKUP(Wycena!$C$14,Mapping!$CY$3:$CZ$5,2,0),DA14,"")</f>
        <v>16</v>
      </c>
      <c r="DC14" cm="1">
        <f t="array" ref="DC14">IF(ROWS($DB$3:DB14)&gt;(ROWS($DB$3:$DB$28)-COUNTBLANK($DB$3:$DB$28)),"",INDEX($DB$3:$DB$28,SMALL(IF($DB$3:$DB$28&lt;&gt;"",ROW($DB$3:$DB$28)-2),ROWS($DB$3:DB14))))</f>
        <v>17</v>
      </c>
      <c r="DG14" t="s">
        <v>293</v>
      </c>
      <c r="DH14">
        <v>26</v>
      </c>
      <c r="DI14">
        <v>26</v>
      </c>
      <c r="DK14">
        <v>16</v>
      </c>
      <c r="DL14">
        <f>IF(DK14&gt;=VLOOKUP(Wycena!$C$14,Mapping!$DG$3:$DH$5,2,0),DK14,"")</f>
        <v>16</v>
      </c>
      <c r="DM14" cm="1">
        <f t="array" ref="DM14">IF(ROWS($DL$3:DL14)&gt;(ROWS($DL$3:$DL$28)-COUNTBLANK($DL$3:$DL$28)),"",INDEX($DL$3:$DL$28,SMALL(IF($DL$3:$DL$28&lt;&gt;"",ROW($DL$3:$DL$28)-2),ROWS($DL$3:DL14))))</f>
        <v>17</v>
      </c>
      <c r="DN14">
        <f>IF(DK14&gt;=VLOOKUP(Wycena!$C$14,Mapping!$DG$3:$DI$5,3,0),DK14,"")</f>
        <v>16</v>
      </c>
      <c r="DO14" cm="1">
        <f t="array" ref="DO14">IF(ROWS($DN$3:DN14)&gt;(ROWS($DN$3:$DN$28)-COUNTBLANK($DN$3:$DN$28)),"",INDEX($DN$3:$DN$28,SMALL(IF($DN$3:$DN$28&lt;&gt;"",ROW($DN$3:$DN$28)-2),ROWS($DN$3:DN14))))</f>
        <v>17</v>
      </c>
      <c r="DQ14" t="s">
        <v>340</v>
      </c>
      <c r="DR14">
        <v>18</v>
      </c>
      <c r="DS14">
        <v>16</v>
      </c>
      <c r="DT14">
        <f>IF(DS14&gt;=VLOOKUP(Wycena!$C$25,Mapping!$DQ$3:$DR$4,2,0),DS14,"")</f>
        <v>16</v>
      </c>
      <c r="DU14" cm="1">
        <f t="array" ref="DU14">IF(ROWS($DT$3:DT14)&gt;(ROWS($DT$3:$DT$28)-COUNTBLANK($DT$3:$DT$28)),"",INDEX($DT$3:$DT$28,SMALL(IF($DT$3:$DT$28&lt;&gt;"",ROW($DT$3:$DT$28)-2),ROWS($DT$3:DT14))))</f>
        <v>21</v>
      </c>
      <c r="DW14">
        <v>11</v>
      </c>
      <c r="FE14" t="s">
        <v>401</v>
      </c>
      <c r="FF14">
        <v>1000</v>
      </c>
      <c r="FG14" t="str">
        <f>IF(OR(Wycena!$C$20="Imitacja skrzydła stała",Wycena!$C$20="Imitacja skrzydła ruchoma",Wycena!$C$20="W ościeżnicy tradycyjna"),FE14,"")</f>
        <v/>
      </c>
      <c r="FH14" t="str">
        <f>IF(Wycena!$C$20="-","",FG14)</f>
        <v/>
      </c>
      <c r="FI14" t="str">
        <f t="array" ref="FI14">IF(ROWS($FH$3:FH14)&gt;(ROWS($FH$3:$FH$14)-COUNTBLANK($FH$3:$FH$14)),"",INDEX($FH$3:$FH$14,SMALL(IF($FH$3:$FH$14&lt;&gt;"",ROW($FH$3:$FH$14)-2),ROWS($FH$3:FH14))))</f>
        <v/>
      </c>
      <c r="FJ14" t="str">
        <f>IF(OR(Wycena!$C$21="Imitacja skrzydła stała",Wycena!$C$21="Imitacja skrzydła ruchoma",Wycena!$C$21="W ościeżnicy tradycyjna"),FE14,"")</f>
        <v/>
      </c>
      <c r="FK14" t="str">
        <f>IF(Wycena!$C$21="-","",FJ14)</f>
        <v/>
      </c>
      <c r="FL14" t="str">
        <f t="array" ref="FL14">IF(ROWS($FK$3:FK14)&gt;(ROWS($FK$3:$FK$14)-COUNTBLANK($FK$3:$FK$14)),"",INDEX($FK$3:$FK$14,SMALL(IF($FK$3:$FK$14&lt;&gt;"",ROW($FK$3:$FK$14)-2),ROWS($FK$3:FK14))))</f>
        <v/>
      </c>
      <c r="FO14">
        <v>11</v>
      </c>
      <c r="FP14" t="str">
        <f>IF(Wycena!$C$20="-","",FO14)</f>
        <v/>
      </c>
      <c r="FQ14" t="str" cm="1">
        <f t="array" ref="FQ14">IF(ROWS($FP$3:FP14)&gt;(ROWS($FP$3:$FP$23)-COUNTBLANK($FP$3:$FP$23)),"",INDEX($FP$3:$FP$23,SMALL(IF($FP$3:$FP$23&lt;&gt;"",ROW($FP$3:$FP$23)-2),ROWS($FP$3:FP14))))</f>
        <v/>
      </c>
      <c r="FR14" t="str">
        <f>IF(Wycena!$C$21="-","",FO14)</f>
        <v/>
      </c>
      <c r="FS14" t="str" cm="1">
        <f t="array" ref="FS14">IF(ROWS($FR$3:FR14)&gt;(ROWS($FR$3:$FR$23)-COUNTBLANK($FR$3:$FR$23)),"",INDEX($FR$3:$FR$23,SMALL(IF($FR$3:$FR$23&lt;&gt;"",ROW($FR$3:$FR$23)-2),ROWS($FR$3:FR14))))</f>
        <v/>
      </c>
      <c r="FT14" t="str">
        <f>IF(Wycena!$C$22="-","",FO14)</f>
        <v/>
      </c>
      <c r="FU14" t="str">
        <f t="array" ref="FU14">IF(ROWS($FT$3:FT14)&gt;(ROWS($FT$3:$FT$23)-COUNTBLANK($FT$3:$FT$23)),"",INDEX($FT$3:$FT$23,SMALL(IF($FT$3:$FT$23&lt;&gt;"",ROW($FT$3:$FT$23)-2),ROWS($FT$3:FT14))))</f>
        <v/>
      </c>
      <c r="FW14" t="s">
        <v>432</v>
      </c>
      <c r="FX14" t="s">
        <v>431</v>
      </c>
      <c r="FY14" t="s">
        <v>462</v>
      </c>
      <c r="GA14" t="s">
        <v>811</v>
      </c>
      <c r="GB14">
        <v>250</v>
      </c>
      <c r="GC14" t="s">
        <v>811</v>
      </c>
      <c r="GD14" t="str">
        <f t="shared" si="3"/>
        <v>Klamko - gałka Medos Dublin</v>
      </c>
      <c r="GJ14" t="str">
        <f>IF((HLOOKUP(VLOOKUP(Wycena!$C$59,Mapping!$GI$35:$GJ$43,2,0),$GD$1:$GI$33,2+GK14))=0,"",(HLOOKUP(VLOOKUP(Wycena!$C$59,Mapping!$GI$35:$GJ$43,2,0),$GD$1:$GI$33,2+GK14)))</f>
        <v>Klamko - gałka Medos Dublin</v>
      </c>
      <c r="GK14">
        <v>12</v>
      </c>
      <c r="GL14" t="e">
        <f t="array" ref="GL14">IF(ROWS($GJ$3:GJ14)&gt;(ROWS($GJ$3:$GJ$33)-COUNTBLANK($GJ$3:$GJ$33)),"",INDEX($GJ$3:$GJ$33,SMALL(IF($GJ$3:$GJ$33&lt;&gt;"",ROW($GJ$3:$GJ$33)-2),ROWS($GJ$3:GJ14))))</f>
        <v>#N/A</v>
      </c>
      <c r="GM14" t="s">
        <v>446</v>
      </c>
      <c r="GN14" t="s">
        <v>472</v>
      </c>
      <c r="GR14" t="str">
        <v>-</v>
      </c>
      <c r="GW14" t="s">
        <v>489</v>
      </c>
      <c r="HF14" t="s">
        <v>263</v>
      </c>
      <c r="HG14" t="s">
        <v>263</v>
      </c>
      <c r="HH14" t="s">
        <v>263</v>
      </c>
      <c r="HI14" t="s">
        <v>263</v>
      </c>
      <c r="HJ14" t="s">
        <v>263</v>
      </c>
      <c r="HK14" t="s">
        <v>263</v>
      </c>
      <c r="HS14">
        <v>21</v>
      </c>
      <c r="HT14">
        <f>110+70+120</f>
        <v>300</v>
      </c>
      <c r="HU14">
        <f>(1+IFERROR(VLOOKUP(Wycena!$C$45,Mapping!$EZ$3:$FC$6,4,1),0)+IFERROR(VLOOKUP(Wycena!$C$49,Mapping!$EZ$3:$FC$6,4,1),0))*HT14</f>
        <v>300</v>
      </c>
      <c r="IW14" s="11">
        <v>0.11</v>
      </c>
      <c r="IY14" s="8">
        <v>1200</v>
      </c>
    </row>
    <row r="15" spans="1:266" x14ac:dyDescent="0.35">
      <c r="A15" t="s">
        <v>91</v>
      </c>
      <c r="B15">
        <v>20</v>
      </c>
      <c r="C15">
        <v>20</v>
      </c>
      <c r="D15">
        <v>20</v>
      </c>
      <c r="E15">
        <v>20</v>
      </c>
      <c r="F15">
        <v>34</v>
      </c>
      <c r="G15">
        <v>34</v>
      </c>
      <c r="H15">
        <f>F15+2</f>
        <v>36</v>
      </c>
      <c r="I15">
        <f>G15+2</f>
        <v>36</v>
      </c>
      <c r="Q15" t="s">
        <v>292</v>
      </c>
      <c r="R15" t="s">
        <v>825</v>
      </c>
      <c r="Y15" t="s">
        <v>283</v>
      </c>
      <c r="Z15">
        <v>0</v>
      </c>
      <c r="AA15" t="str">
        <f t="shared" si="4"/>
        <v>Winchester</v>
      </c>
      <c r="AB15" t="str">
        <f>AA15</f>
        <v>Winchester</v>
      </c>
      <c r="AC15" t="e" cm="1">
        <f t="array" ref="AC15">IF(ROWS($AB$3:AB15)&gt;(ROWS($AB$3:$AB$229)-COUNTBLANK($AB$3:$AB$229)),"",INDEX($AB$3:$AB$229,SMALL(IF($AB$3:$AB$229&lt;&gt;"",ROW($AB$3:$AB$229)-2),ROWS($AB$3:AB15))))</f>
        <v>#N/A</v>
      </c>
      <c r="AX15">
        <v>84</v>
      </c>
      <c r="AY15">
        <v>0</v>
      </c>
      <c r="AZ15">
        <v>0</v>
      </c>
      <c r="BA15">
        <f>IF(Wycena!$C$16=78,Mapping!AY15,AZ15)</f>
        <v>0</v>
      </c>
      <c r="BD15">
        <v>192</v>
      </c>
      <c r="BE15">
        <v>0</v>
      </c>
      <c r="BF15">
        <v>0</v>
      </c>
      <c r="BG15">
        <f>IF(Wycena!$C$16=78,Mapping!BE15,BF15)</f>
        <v>0</v>
      </c>
      <c r="BS15" t="e">
        <v>#N/A</v>
      </c>
      <c r="CO15">
        <f>VLOOKUP(Wycena!C26,$CO$16:$CS$25,IF(AND(Wycena!C20="-",Wycena!C21="-"),2,IF(AND(Wycena!C20&lt;&gt;"-",Wycena!C21="-"),3,IF(AND(Wycena!C20="-",Wycena!C21&lt;&gt;"-"),4,5))),0)</f>
        <v>0</v>
      </c>
      <c r="CY15" t="s">
        <v>294</v>
      </c>
      <c r="CZ15">
        <v>70</v>
      </c>
      <c r="DA15">
        <v>17</v>
      </c>
      <c r="DB15">
        <f>IF(DA15&gt;=VLOOKUP(Wycena!$C$14,Mapping!$CY$3:$CZ$5,2,0),DA15,"")</f>
        <v>17</v>
      </c>
      <c r="DC15" cm="1">
        <f t="array" ref="DC15">IF(ROWS($DB$3:DB15)&gt;(ROWS($DB$3:$DB$28)-COUNTBLANK($DB$3:$DB$28)),"",INDEX($DB$3:$DB$28,SMALL(IF($DB$3:$DB$28&lt;&gt;"",ROW($DB$3:$DB$28)-2),ROWS($DB$3:DB15))))</f>
        <v>18</v>
      </c>
      <c r="DG15" t="s">
        <v>294</v>
      </c>
      <c r="DH15">
        <v>70</v>
      </c>
      <c r="DI15">
        <v>70</v>
      </c>
      <c r="DK15">
        <v>17</v>
      </c>
      <c r="DL15">
        <f>IF(DK15&gt;=VLOOKUP(Wycena!$C$14,Mapping!$DG$3:$DH$5,2,0),DK15,"")</f>
        <v>17</v>
      </c>
      <c r="DM15" cm="1">
        <f t="array" ref="DM15">IF(ROWS($DL$3:DL15)&gt;(ROWS($DL$3:$DL$28)-COUNTBLANK($DL$3:$DL$28)),"",INDEX($DL$3:$DL$28,SMALL(IF($DL$3:$DL$28&lt;&gt;"",ROW($DL$3:$DL$28)-2),ROWS($DL$3:DL15))))</f>
        <v>18</v>
      </c>
      <c r="DN15">
        <f>IF(DK15&gt;=VLOOKUP(Wycena!$C$14,Mapping!$DG$3:$DI$5,3,0),DK15,"")</f>
        <v>17</v>
      </c>
      <c r="DO15" cm="1">
        <f t="array" ref="DO15">IF(ROWS($DN$3:DN15)&gt;(ROWS($DN$3:$DN$28)-COUNTBLANK($DN$3:$DN$28)),"",INDEX($DN$3:$DN$28,SMALL(IF($DN$3:$DN$28&lt;&gt;"",ROW($DN$3:$DN$28)-2),ROWS($DN$3:DN15))))</f>
        <v>18</v>
      </c>
      <c r="DS15">
        <v>17</v>
      </c>
      <c r="DT15">
        <f>IF(DS15&gt;=VLOOKUP(Wycena!$C$25,Mapping!$DQ$3:$DR$4,2,0),DS15,"")</f>
        <v>17</v>
      </c>
      <c r="DU15" cm="1">
        <f t="array" ref="DU15">IF(ROWS($DT$3:DT15)&gt;(ROWS($DT$3:$DT$28)-COUNTBLANK($DT$3:$DT$28)),"",INDEX($DT$3:$DT$28,SMALL(IF($DT$3:$DT$28&lt;&gt;"",ROW($DT$3:$DT$28)-2),ROWS($DT$3:DT15))))</f>
        <v>22</v>
      </c>
      <c r="DW15">
        <v>12</v>
      </c>
      <c r="EV15" s="8"/>
      <c r="FE15" t="s">
        <v>263</v>
      </c>
      <c r="FF15" t="s">
        <v>263</v>
      </c>
      <c r="FG15" t="s">
        <v>263</v>
      </c>
      <c r="FH15" t="s">
        <v>263</v>
      </c>
      <c r="FI15" t="s">
        <v>263</v>
      </c>
      <c r="FJ15" t="s">
        <v>263</v>
      </c>
      <c r="FK15" t="s">
        <v>263</v>
      </c>
      <c r="FL15" t="s">
        <v>263</v>
      </c>
      <c r="FO15">
        <v>12</v>
      </c>
      <c r="FP15" t="str">
        <f>IF(Wycena!$C$20="-","",FO15)</f>
        <v/>
      </c>
      <c r="FQ15" t="str" cm="1">
        <f t="array" ref="FQ15">IF(ROWS($FP$3:FP15)&gt;(ROWS($FP$3:$FP$23)-COUNTBLANK($FP$3:$FP$23)),"",INDEX($FP$3:$FP$23,SMALL(IF($FP$3:$FP$23&lt;&gt;"",ROW($FP$3:$FP$23)-2),ROWS($FP$3:FP15))))</f>
        <v/>
      </c>
      <c r="FR15" t="str">
        <f>IF(Wycena!$C$21="-","",FO15)</f>
        <v/>
      </c>
      <c r="FS15" t="str" cm="1">
        <f t="array" ref="FS15">IF(ROWS($FR$3:FR15)&gt;(ROWS($FR$3:$FR$23)-COUNTBLANK($FR$3:$FR$23)),"",INDEX($FR$3:$FR$23,SMALL(IF($FR$3:$FR$23&lt;&gt;"",ROW($FR$3:$FR$23)-2),ROWS($FR$3:FR15))))</f>
        <v/>
      </c>
      <c r="FT15" t="str">
        <f>IF(Wycena!$C$22="-","",FO15)</f>
        <v/>
      </c>
      <c r="FU15" t="str">
        <f t="array" ref="FU15">IF(ROWS($FT$3:FT15)&gt;(ROWS($FT$3:$FT$23)-COUNTBLANK($FT$3:$FT$23)),"",INDEX($FT$3:$FT$23,SMALL(IF($FT$3:$FT$23&lt;&gt;"",ROW($FT$3:$FT$23)-2),ROWS($FT$3:FT15))))</f>
        <v/>
      </c>
      <c r="FW15" t="s">
        <v>47</v>
      </c>
      <c r="FX15" t="s">
        <v>549</v>
      </c>
      <c r="FY15" t="s">
        <v>549</v>
      </c>
      <c r="FZ15">
        <v>0</v>
      </c>
      <c r="GA15" t="s">
        <v>812</v>
      </c>
      <c r="GB15">
        <v>550</v>
      </c>
      <c r="GC15" t="s">
        <v>812</v>
      </c>
      <c r="GD15" t="str">
        <f t="shared" si="3"/>
        <v>Klamko - gałka Hoppe Bezpieczna</v>
      </c>
      <c r="GJ15" t="str">
        <f>IF((HLOOKUP(VLOOKUP(Wycena!$C$59,Mapping!$GI$35:$GJ$43,2,0),$GD$1:$GI$33,2+GK15))=0,"",(HLOOKUP(VLOOKUP(Wycena!$C$59,Mapping!$GI$35:$GJ$43,2,0),$GD$1:$GI$33,2+GK15)))</f>
        <v>Klamko - gałka Hoppe Bezpieczna</v>
      </c>
      <c r="GK15">
        <v>13</v>
      </c>
      <c r="GL15" t="e">
        <f t="array" ref="GL15">IF(ROWS($GJ$3:GJ15)&gt;(ROWS($GJ$3:$GJ$33)-COUNTBLANK($GJ$3:$GJ$33)),"",INDEX($GJ$3:$GJ$33,SMALL(IF($GJ$3:$GJ$33&lt;&gt;"",ROW($GJ$3:$GJ$33)-2),ROWS($GJ$3:GJ15))))</f>
        <v>#N/A</v>
      </c>
      <c r="GM15" t="s">
        <v>446</v>
      </c>
      <c r="GN15" t="s">
        <v>468</v>
      </c>
      <c r="GR15" t="str">
        <v>-</v>
      </c>
      <c r="GW15" t="s">
        <v>47</v>
      </c>
      <c r="GX15" t="s">
        <v>15</v>
      </c>
      <c r="HS15">
        <v>23</v>
      </c>
      <c r="HT15">
        <v>280</v>
      </c>
      <c r="HU15">
        <f>(1+IFERROR(VLOOKUP(Wycena!$C$45,Mapping!$EZ$3:$FC$6,4,1),0)+IFERROR(VLOOKUP(Wycena!$C$49,Mapping!$EZ$3:$FC$6,4,1),0))*HT15</f>
        <v>280</v>
      </c>
      <c r="IW15" s="11">
        <v>0.12</v>
      </c>
      <c r="IY15" s="8">
        <v>1300</v>
      </c>
    </row>
    <row r="16" spans="1:266" x14ac:dyDescent="0.35">
      <c r="A16" t="s">
        <v>92</v>
      </c>
      <c r="B16">
        <v>20</v>
      </c>
      <c r="C16">
        <v>20</v>
      </c>
      <c r="D16">
        <v>20</v>
      </c>
      <c r="E16">
        <v>20</v>
      </c>
      <c r="F16">
        <v>44</v>
      </c>
      <c r="G16">
        <v>44</v>
      </c>
      <c r="H16">
        <v>44</v>
      </c>
      <c r="I16">
        <v>44</v>
      </c>
      <c r="Q16" t="s">
        <v>264</v>
      </c>
      <c r="R16" t="s">
        <v>825</v>
      </c>
      <c r="Y16" t="s">
        <v>284</v>
      </c>
      <c r="Z16">
        <v>0</v>
      </c>
      <c r="AA16" t="str">
        <f t="shared" si="4"/>
        <v>Złoty dąb</v>
      </c>
      <c r="AB16" t="str">
        <f>AA16</f>
        <v>Złoty dąb</v>
      </c>
      <c r="AC16" t="e" cm="1">
        <f t="array" ref="AC16">IF(ROWS($AB$3:AB16)&gt;(ROWS($AB$3:$AB$229)-COUNTBLANK($AB$3:$AB$229)),"",INDEX($AB$3:$AB$229,SMALL(IF($AB$3:$AB$229&lt;&gt;"",ROW($AB$3:$AB$229)-2),ROWS($AB$3:AB16))))</f>
        <v>#N/A</v>
      </c>
      <c r="AX16">
        <v>85</v>
      </c>
      <c r="AY16">
        <v>0</v>
      </c>
      <c r="AZ16">
        <v>0</v>
      </c>
      <c r="BA16">
        <f>IF(Wycena!$C$16=78,Mapping!AY16,AZ16)</f>
        <v>0</v>
      </c>
      <c r="BD16">
        <v>193</v>
      </c>
      <c r="BE16">
        <v>0</v>
      </c>
      <c r="BF16">
        <v>0</v>
      </c>
      <c r="BG16">
        <f>IF(Wycena!$C$16=78,Mapping!BE16,BF16)</f>
        <v>0</v>
      </c>
      <c r="CF16" t="str">
        <f t="array" ref="CF16">$CF$3:INDEX($CF$3:$CF$13,(ROWS($CE$3:$CE$13)-COUNTBLANK($CE$3:$CE$13)))</f>
        <v>-</v>
      </c>
      <c r="CO16" t="s">
        <v>782</v>
      </c>
      <c r="CP16" s="10" t="s">
        <v>786</v>
      </c>
      <c r="CQ16" s="10" t="s">
        <v>787</v>
      </c>
      <c r="CR16" s="10" t="s">
        <v>788</v>
      </c>
      <c r="CS16" s="10" t="s">
        <v>789</v>
      </c>
      <c r="DA16">
        <v>18</v>
      </c>
      <c r="DB16">
        <f>IF(DA16&gt;=VLOOKUP(Wycena!$C$14,Mapping!$CY$3:$CZ$5,2,0),DA16,"")</f>
        <v>18</v>
      </c>
      <c r="DC16" cm="1">
        <f t="array" ref="DC16">IF(ROWS($DB$3:DB16)&gt;(ROWS($DB$3:$DB$28)-COUNTBLANK($DB$3:$DB$28)),"",INDEX($DB$3:$DB$28,SMALL(IF($DB$3:$DB$28&lt;&gt;"",ROW($DB$3:$DB$28)-2),ROWS($DB$3:DB16))))</f>
        <v>19</v>
      </c>
      <c r="DK16">
        <v>18</v>
      </c>
      <c r="DL16">
        <f>IF(DK16&gt;=VLOOKUP(Wycena!$C$14,Mapping!$DG$3:$DH$5,2,0),DK16,"")</f>
        <v>18</v>
      </c>
      <c r="DM16" cm="1">
        <f t="array" ref="DM16">IF(ROWS($DL$3:DL16)&gt;(ROWS($DL$3:$DL$28)-COUNTBLANK($DL$3:$DL$28)),"",INDEX($DL$3:$DL$28,SMALL(IF($DL$3:$DL$28&lt;&gt;"",ROW($DL$3:$DL$28)-2),ROWS($DL$3:DL16))))</f>
        <v>19</v>
      </c>
      <c r="DN16">
        <f>IF(DK16&gt;=VLOOKUP(Wycena!$C$14,Mapping!$DG$3:$DI$5,3,0),DK16,"")</f>
        <v>18</v>
      </c>
      <c r="DO16" cm="1">
        <f t="array" ref="DO16">IF(ROWS($DN$3:DN16)&gt;(ROWS($DN$3:$DN$28)-COUNTBLANK($DN$3:$DN$28)),"",INDEX($DN$3:$DN$28,SMALL(IF($DN$3:$DN$28&lt;&gt;"",ROW($DN$3:$DN$28)-2),ROWS($DN$3:DN16))))</f>
        <v>19</v>
      </c>
      <c r="DS16">
        <v>18</v>
      </c>
      <c r="DT16">
        <f>IF(DS16&gt;=VLOOKUP(Wycena!$C$25,Mapping!$DQ$3:$DR$4,2,0),DS16,"")</f>
        <v>18</v>
      </c>
      <c r="DU16" cm="1">
        <f t="array" ref="DU16">IF(ROWS($DT$3:DT16)&gt;(ROWS($DT$3:$DT$28)-COUNTBLANK($DT$3:$DT$28)),"",INDEX($DT$3:$DT$28,SMALL(IF($DT$3:$DT$28&lt;&gt;"",ROW($DT$3:$DT$28)-2),ROWS($DT$3:DT16))))</f>
        <v>23</v>
      </c>
      <c r="DW16">
        <v>13</v>
      </c>
      <c r="FO16">
        <v>13</v>
      </c>
      <c r="FP16" t="str">
        <f>IF(Wycena!$C$20="-","",FO16)</f>
        <v/>
      </c>
      <c r="FQ16" t="str" cm="1">
        <f t="array" ref="FQ16">IF(ROWS($FP$3:FP16)&gt;(ROWS($FP$3:$FP$23)-COUNTBLANK($FP$3:$FP$23)),"",INDEX($FP$3:$FP$23,SMALL(IF($FP$3:$FP$23&lt;&gt;"",ROW($FP$3:$FP$23)-2),ROWS($FP$3:FP16))))</f>
        <v/>
      </c>
      <c r="FR16" t="str">
        <f>IF(Wycena!$C$21="-","",FO16)</f>
        <v/>
      </c>
      <c r="FS16" t="str" cm="1">
        <f t="array" ref="FS16">IF(ROWS($FR$3:FR16)&gt;(ROWS($FR$3:$FR$23)-COUNTBLANK($FR$3:$FR$23)),"",INDEX($FR$3:$FR$23,SMALL(IF($FR$3:$FR$23&lt;&gt;"",ROW($FR$3:$FR$23)-2),ROWS($FR$3:FR16))))</f>
        <v/>
      </c>
      <c r="FT16" t="str">
        <f>IF(Wycena!$C$22="-","",FO16)</f>
        <v/>
      </c>
      <c r="FU16" t="str">
        <f t="array" ref="FU16">IF(ROWS($FT$3:FT16)&gt;(ROWS($FT$3:$FT$23)-COUNTBLANK($FT$3:$FT$23)),"",INDEX($FT$3:$FT$23,SMALL(IF($FT$3:$FT$23&lt;&gt;"",ROW($FT$3:$FT$23)-2),ROWS($FT$3:FT16))))</f>
        <v/>
      </c>
      <c r="FW16" t="s">
        <v>47</v>
      </c>
      <c r="FX16" t="s">
        <v>550</v>
      </c>
      <c r="FY16" t="s">
        <v>550</v>
      </c>
      <c r="FZ16">
        <v>0</v>
      </c>
      <c r="GA16" t="s">
        <v>813</v>
      </c>
      <c r="GB16">
        <v>500</v>
      </c>
      <c r="GC16" t="s">
        <v>813</v>
      </c>
      <c r="GD16" t="str">
        <f t="shared" si="3"/>
        <v>Klamko - gałka AXA Diva Flex</v>
      </c>
      <c r="GJ16" t="str">
        <f>IF((HLOOKUP(VLOOKUP(Wycena!$C$59,Mapping!$GI$35:$GJ$43,2,0),$GD$1:$GI$33,2+GK16))=0,"",(HLOOKUP(VLOOKUP(Wycena!$C$59,Mapping!$GI$35:$GJ$43,2,0),$GD$1:$GI$33,2+GK16)))</f>
        <v>Klamko - gałka AXA Diva Flex</v>
      </c>
      <c r="GK16">
        <v>14</v>
      </c>
      <c r="GL16" t="e">
        <f t="array" ref="GL16">IF(ROWS($GJ$3:GJ16)&gt;(ROWS($GJ$3:$GJ$33)-COUNTBLANK($GJ$3:$GJ$33)),"",INDEX($GJ$3:$GJ$33,SMALL(IF($GJ$3:$GJ$33&lt;&gt;"",ROW($GJ$3:$GJ$33)-2),ROWS($GJ$3:GJ16))))</f>
        <v>#N/A</v>
      </c>
      <c r="GM16" t="s">
        <v>436</v>
      </c>
      <c r="GN16" t="s">
        <v>466</v>
      </c>
      <c r="GR16" t="str">
        <v>-</v>
      </c>
      <c r="GW16" t="s">
        <v>47</v>
      </c>
      <c r="GX16" t="s">
        <v>487</v>
      </c>
      <c r="HK16" t="str">
        <f t="array" ref="HK16">$HK$3:INDEX($HK$3:$HK$13,(ROWS($HJ$3:$HJ$13)-COUNTBLANK($HJ$3:$HJ$13)))</f>
        <v>-</v>
      </c>
      <c r="HS16">
        <v>24</v>
      </c>
      <c r="HT16">
        <v>360</v>
      </c>
      <c r="HU16">
        <f>(1+IFERROR(VLOOKUP(Wycena!$C$45,Mapping!$EZ$3:$FC$6,4,1),0)+IFERROR(VLOOKUP(Wycena!$C$49,Mapping!$EZ$3:$FC$6,4,1),0))*HT16</f>
        <v>360</v>
      </c>
      <c r="IW16" s="11">
        <v>0.13</v>
      </c>
      <c r="IY16" s="8">
        <v>1400</v>
      </c>
    </row>
    <row r="17" spans="1:259" x14ac:dyDescent="0.35">
      <c r="A17" t="s">
        <v>93</v>
      </c>
      <c r="B17">
        <v>20</v>
      </c>
      <c r="C17">
        <v>20</v>
      </c>
      <c r="D17">
        <v>20</v>
      </c>
      <c r="E17">
        <v>20</v>
      </c>
      <c r="F17">
        <v>63</v>
      </c>
      <c r="G17">
        <v>63</v>
      </c>
      <c r="H17">
        <v>63</v>
      </c>
      <c r="I17">
        <v>63</v>
      </c>
      <c r="Q17" t="s">
        <v>265</v>
      </c>
      <c r="R17" t="s">
        <v>824</v>
      </c>
      <c r="Y17" t="s">
        <v>285</v>
      </c>
      <c r="Z17">
        <v>0</v>
      </c>
      <c r="AA17" t="str">
        <f t="shared" si="4"/>
        <v>RAL 9016 biały</v>
      </c>
      <c r="AB17" t="str">
        <f>IF((VLOOKUP(Wycena!$C$7,Mapping!$Q$15:$R$20,2,0))="tak","",AA17)</f>
        <v>RAL 9016 biały</v>
      </c>
      <c r="AC17" t="e" cm="1">
        <f t="array" ref="AC17">IF(ROWS($AB$3:AB17)&gt;(ROWS($AB$3:$AB$229)-COUNTBLANK($AB$3:$AB$229)),"",INDEX($AB$3:$AB$229,SMALL(IF($AB$3:$AB$229&lt;&gt;"",ROW($AB$3:$AB$229)-2),ROWS($AB$3:AB17))))</f>
        <v>#N/A</v>
      </c>
      <c r="AX17">
        <v>86</v>
      </c>
      <c r="AY17">
        <v>0</v>
      </c>
      <c r="AZ17">
        <v>0</v>
      </c>
      <c r="BA17">
        <f>IF(Wycena!$C$16=78,Mapping!AY17,AZ17)</f>
        <v>0</v>
      </c>
      <c r="BD17">
        <v>194</v>
      </c>
      <c r="BE17">
        <v>0</v>
      </c>
      <c r="BF17">
        <v>0</v>
      </c>
      <c r="BG17">
        <f>IF(Wycena!$C$16=78,Mapping!BE17,BF17)</f>
        <v>0</v>
      </c>
      <c r="CO17" s="9" t="s">
        <v>15</v>
      </c>
      <c r="CP17">
        <v>0</v>
      </c>
      <c r="CQ17">
        <v>0</v>
      </c>
      <c r="CR17">
        <v>0</v>
      </c>
      <c r="CS17">
        <v>0</v>
      </c>
      <c r="DA17">
        <v>19</v>
      </c>
      <c r="DB17">
        <f>IF(DA17&gt;=VLOOKUP(Wycena!$C$14,Mapping!$CY$3:$CZ$5,2,0),DA17,"")</f>
        <v>19</v>
      </c>
      <c r="DC17" cm="1">
        <f t="array" ref="DC17">IF(ROWS($DB$3:DB17)&gt;(ROWS($DB$3:$DB$28)-COUNTBLANK($DB$3:$DB$28)),"",INDEX($DB$3:$DB$28,SMALL(IF($DB$3:$DB$28&lt;&gt;"",ROW($DB$3:$DB$28)-2),ROWS($DB$3:DB17))))</f>
        <v>20</v>
      </c>
      <c r="DK17">
        <v>19</v>
      </c>
      <c r="DL17">
        <f>IF(DK17&gt;=VLOOKUP(Wycena!$C$14,Mapping!$DG$3:$DH$5,2,0),DK17,"")</f>
        <v>19</v>
      </c>
      <c r="DM17" cm="1">
        <f t="array" ref="DM17">IF(ROWS($DL$3:DL17)&gt;(ROWS($DL$3:$DL$28)-COUNTBLANK($DL$3:$DL$28)),"",INDEX($DL$3:$DL$28,SMALL(IF($DL$3:$DL$28&lt;&gt;"",ROW($DL$3:$DL$28)-2),ROWS($DL$3:DL17))))</f>
        <v>20</v>
      </c>
      <c r="DN17">
        <f>IF(DK17&gt;=VLOOKUP(Wycena!$C$14,Mapping!$DG$3:$DI$5,3,0),DK17,"")</f>
        <v>19</v>
      </c>
      <c r="DO17" cm="1">
        <f t="array" ref="DO17">IF(ROWS($DN$3:DN17)&gt;(ROWS($DN$3:$DN$28)-COUNTBLANK($DN$3:$DN$28)),"",INDEX($DN$3:$DN$28,SMALL(IF($DN$3:$DN$28&lt;&gt;"",ROW($DN$3:$DN$28)-2),ROWS($DN$3:DN17))))</f>
        <v>20</v>
      </c>
      <c r="DS17">
        <v>19</v>
      </c>
      <c r="DT17">
        <f>IF(DS17&gt;=VLOOKUP(Wycena!$C$25,Mapping!$DQ$3:$DR$4,2,0),DS17,"")</f>
        <v>19</v>
      </c>
      <c r="DU17" cm="1">
        <f t="array" ref="DU17">IF(ROWS($DT$3:DT17)&gt;(ROWS($DT$3:$DT$28)-COUNTBLANK($DT$3:$DT$28)),"",INDEX($DT$3:$DT$28,SMALL(IF($DT$3:$DT$28&lt;&gt;"",ROW($DT$3:$DT$28)-2),ROWS($DT$3:DT17))))</f>
        <v>24</v>
      </c>
      <c r="DW17">
        <v>14</v>
      </c>
      <c r="DY17">
        <f>3*25</f>
        <v>75</v>
      </c>
      <c r="FI17" t="str">
        <f t="array" ref="FI17">$FI$3:INDEX($FI$3:$FI$14,(ROWS($FH$3:$FH$14)-COUNTBLANK($FH$3:$FH$14)))</f>
        <v>-</v>
      </c>
      <c r="FL17" t="str">
        <f t="array" ref="FL17">$FL$3:INDEX($FL$3:$FL$14,(ROWS($FK$3:$FK$14)-COUNTBLANK($FK$3:$FK$14)))</f>
        <v>-</v>
      </c>
      <c r="FO17">
        <v>14</v>
      </c>
      <c r="FP17" t="str">
        <f>IF(Wycena!$C$20="-","",FO17)</f>
        <v/>
      </c>
      <c r="FQ17" t="str" cm="1">
        <f t="array" ref="FQ17">IF(ROWS($FP$3:FP17)&gt;(ROWS($FP$3:$FP$23)-COUNTBLANK($FP$3:$FP$23)),"",INDEX($FP$3:$FP$23,SMALL(IF($FP$3:$FP$23&lt;&gt;"",ROW($FP$3:$FP$23)-2),ROWS($FP$3:FP17))))</f>
        <v/>
      </c>
      <c r="FR17" t="str">
        <f>IF(Wycena!$C$21="-","",FO17)</f>
        <v/>
      </c>
      <c r="FS17" t="str" cm="1">
        <f t="array" ref="FS17">IF(ROWS($FR$3:FR17)&gt;(ROWS($FR$3:$FR$23)-COUNTBLANK($FR$3:$FR$23)),"",INDEX($FR$3:$FR$23,SMALL(IF($FR$3:$FR$23&lt;&gt;"",ROW($FR$3:$FR$23)-2),ROWS($FR$3:FR17))))</f>
        <v/>
      </c>
      <c r="FT17" t="str">
        <f>IF(Wycena!$C$22="-","",FO17)</f>
        <v/>
      </c>
      <c r="FU17" t="str">
        <f t="array" ref="FU17">IF(ROWS($FT$3:FT17)&gt;(ROWS($FT$3:$FT$23)-COUNTBLANK($FT$3:$FT$23)),"",INDEX($FT$3:$FT$23,SMALL(IF($FT$3:$FT$23&lt;&gt;"",ROW($FT$3:$FT$23)-2),ROWS($FT$3:FT17))))</f>
        <v/>
      </c>
      <c r="FW17" t="s">
        <v>47</v>
      </c>
      <c r="FX17" t="s">
        <v>551</v>
      </c>
      <c r="FY17" t="s">
        <v>551</v>
      </c>
      <c r="FZ17">
        <v>300</v>
      </c>
      <c r="GA17" t="s">
        <v>814</v>
      </c>
      <c r="GB17">
        <v>250</v>
      </c>
      <c r="GC17" t="s">
        <v>814</v>
      </c>
      <c r="GD17" t="str">
        <f t="shared" si="3"/>
        <v>Klamko - gałka AXA Haga Plus</v>
      </c>
      <c r="GJ17" t="str">
        <f>IF((HLOOKUP(VLOOKUP(Wycena!$C$59,Mapping!$GI$35:$GJ$43,2,0),$GD$1:$GI$33,2+GK17))=0,"",(HLOOKUP(VLOOKUP(Wycena!$C$59,Mapping!$GI$35:$GJ$43,2,0),$GD$1:$GI$33,2+GK17)))</f>
        <v>Klamko - gałka AXA Haga Plus</v>
      </c>
      <c r="GK17">
        <v>15</v>
      </c>
      <c r="GL17" t="e">
        <f t="array" ref="GL17">IF(ROWS($GJ$3:GJ17)&gt;(ROWS($GJ$3:$GJ$33)-COUNTBLANK($GJ$3:$GJ$33)),"",INDEX($GJ$3:$GJ$33,SMALL(IF($GJ$3:$GJ$33&lt;&gt;"",ROW($GJ$3:$GJ$33)-2),ROWS($GJ$3:GJ17))))</f>
        <v>#N/A</v>
      </c>
      <c r="GM17" t="s">
        <v>436</v>
      </c>
      <c r="GN17" t="s">
        <v>472</v>
      </c>
      <c r="GR17" t="str">
        <v>-</v>
      </c>
      <c r="GW17" t="s">
        <v>47</v>
      </c>
      <c r="GX17" t="s">
        <v>488</v>
      </c>
      <c r="HS17">
        <v>25</v>
      </c>
      <c r="HT17">
        <v>290</v>
      </c>
      <c r="HU17">
        <f>(1+IFERROR(VLOOKUP(Wycena!$C$45,Mapping!$EZ$3:$FC$6,4,1),0)+IFERROR(VLOOKUP(Wycena!$C$49,Mapping!$EZ$3:$FC$6,4,1),0))*HT17</f>
        <v>290</v>
      </c>
      <c r="IW17" s="11">
        <v>0.14000000000000001</v>
      </c>
      <c r="IY17" s="8">
        <v>1500</v>
      </c>
    </row>
    <row r="18" spans="1:259" x14ac:dyDescent="0.35">
      <c r="A18" t="s">
        <v>94</v>
      </c>
      <c r="B18">
        <v>20</v>
      </c>
      <c r="C18">
        <v>20</v>
      </c>
      <c r="D18">
        <v>20</v>
      </c>
      <c r="E18">
        <v>20</v>
      </c>
      <c r="F18">
        <v>34</v>
      </c>
      <c r="G18">
        <v>34</v>
      </c>
      <c r="H18">
        <f t="shared" ref="H18:I22" si="5">F18+2</f>
        <v>36</v>
      </c>
      <c r="I18">
        <f t="shared" si="5"/>
        <v>36</v>
      </c>
      <c r="Q18" t="s">
        <v>266</v>
      </c>
      <c r="R18" t="s">
        <v>824</v>
      </c>
      <c r="Y18" t="s">
        <v>286</v>
      </c>
      <c r="Z18">
        <v>0</v>
      </c>
      <c r="AA18" t="str">
        <f t="shared" si="4"/>
        <v>RAL 7016 antracyt</v>
      </c>
      <c r="AB18" t="str">
        <f>IF((VLOOKUP(Wycena!$C$7,Mapping!$Q$15:$R$20,2,0))="tak","",AA18)</f>
        <v>RAL 7016 antracyt</v>
      </c>
      <c r="AC18" t="e" cm="1">
        <f t="array" ref="AC18">IF(ROWS($AB$3:AB18)&gt;(ROWS($AB$3:$AB$229)-COUNTBLANK($AB$3:$AB$229)),"",INDEX($AB$3:$AB$229,SMALL(IF($AB$3:$AB$229&lt;&gt;"",ROW($AB$3:$AB$229)-2),ROWS($AB$3:AB18))))</f>
        <v>#N/A</v>
      </c>
      <c r="AX18">
        <v>87</v>
      </c>
      <c r="AY18">
        <v>0</v>
      </c>
      <c r="AZ18">
        <v>0</v>
      </c>
      <c r="BA18">
        <f>IF(Wycena!$C$16=78,Mapping!AY18,AZ18)</f>
        <v>0</v>
      </c>
      <c r="BD18">
        <v>195</v>
      </c>
      <c r="BE18">
        <v>0</v>
      </c>
      <c r="BF18">
        <v>0</v>
      </c>
      <c r="BG18">
        <f>IF(Wycena!$C$16=78,Mapping!BE18,BF18)</f>
        <v>0</v>
      </c>
      <c r="CO18" t="s">
        <v>326</v>
      </c>
      <c r="CP18">
        <f>IF(Wycena!$C$14="Przylgowe",8,IF(Wycena!$C$14="Bezprzylgowe",6,0))</f>
        <v>8</v>
      </c>
      <c r="CQ18">
        <v>0</v>
      </c>
      <c r="CR18">
        <f>IF(Wycena!$C$14="Przylgowe",8,IF(Wycena!$C$14="Bezprzylgowe",6,0))</f>
        <v>8</v>
      </c>
      <c r="CS18">
        <v>0</v>
      </c>
      <c r="DA18">
        <v>20</v>
      </c>
      <c r="DB18">
        <f>IF(DA18&gt;=VLOOKUP(Wycena!$C$14,Mapping!$CY$3:$CZ$5,2,0),DA18,"")</f>
        <v>20</v>
      </c>
      <c r="DC18" cm="1">
        <f t="array" ref="DC18">IF(ROWS($DB$3:DB18)&gt;(ROWS($DB$3:$DB$28)-COUNTBLANK($DB$3:$DB$28)),"",INDEX($DB$3:$DB$28,SMALL(IF($DB$3:$DB$28&lt;&gt;"",ROW($DB$3:$DB$28)-2),ROWS($DB$3:DB18))))</f>
        <v>21</v>
      </c>
      <c r="DK18">
        <v>20</v>
      </c>
      <c r="DL18">
        <f>IF(DK18&gt;=VLOOKUP(Wycena!$C$14,Mapping!$DG$3:$DH$5,2,0),DK18,"")</f>
        <v>20</v>
      </c>
      <c r="DM18" cm="1">
        <f t="array" ref="DM18">IF(ROWS($DL$3:DL18)&gt;(ROWS($DL$3:$DL$28)-COUNTBLANK($DL$3:$DL$28)),"",INDEX($DL$3:$DL$28,SMALL(IF($DL$3:$DL$28&lt;&gt;"",ROW($DL$3:$DL$28)-2),ROWS($DL$3:DL18))))</f>
        <v>21</v>
      </c>
      <c r="DN18">
        <f>IF(DK18&gt;=VLOOKUP(Wycena!$C$14,Mapping!$DG$3:$DI$5,3,0),DK18,"")</f>
        <v>20</v>
      </c>
      <c r="DO18" cm="1">
        <f t="array" ref="DO18">IF(ROWS($DN$3:DN18)&gt;(ROWS($DN$3:$DN$28)-COUNTBLANK($DN$3:$DN$28)),"",INDEX($DN$3:$DN$28,SMALL(IF($DN$3:$DN$28&lt;&gt;"",ROW($DN$3:$DN$28)-2),ROWS($DN$3:DN18))))</f>
        <v>21</v>
      </c>
      <c r="DS18">
        <v>20</v>
      </c>
      <c r="DT18">
        <f>IF(DS18&gt;=VLOOKUP(Wycena!$C$25,Mapping!$DQ$3:$DR$4,2,0),DS18,"")</f>
        <v>20</v>
      </c>
      <c r="DU18" cm="1">
        <f t="array" ref="DU18">IF(ROWS($DT$3:DT18)&gt;(ROWS($DT$3:$DT$28)-COUNTBLANK($DT$3:$DT$28)),"",INDEX($DT$3:$DT$28,SMALL(IF($DT$3:$DT$28&lt;&gt;"",ROW($DT$3:$DT$28)-2),ROWS($DT$3:DT18))))</f>
        <v>25</v>
      </c>
      <c r="DW18">
        <v>15</v>
      </c>
      <c r="FO18">
        <v>15</v>
      </c>
      <c r="FP18" t="str">
        <f>IF(Wycena!$C$20="-","",FO18)</f>
        <v/>
      </c>
      <c r="FQ18" t="str" cm="1">
        <f t="array" ref="FQ18">IF(ROWS($FP$3:FP18)&gt;(ROWS($FP$3:$FP$23)-COUNTBLANK($FP$3:$FP$23)),"",INDEX($FP$3:$FP$23,SMALL(IF($FP$3:$FP$23&lt;&gt;"",ROW($FP$3:$FP$23)-2),ROWS($FP$3:FP18))))</f>
        <v/>
      </c>
      <c r="FR18" t="str">
        <f>IF(Wycena!$C$21="-","",FO18)</f>
        <v/>
      </c>
      <c r="FS18" t="str" cm="1">
        <f t="array" ref="FS18">IF(ROWS($FR$3:FR18)&gt;(ROWS($FR$3:$FR$23)-COUNTBLANK($FR$3:$FR$23)),"",INDEX($FR$3:$FR$23,SMALL(IF($FR$3:$FR$23&lt;&gt;"",ROW($FR$3:$FR$23)-2),ROWS($FR$3:FR18))))</f>
        <v/>
      </c>
      <c r="FT18" t="str">
        <f>IF(Wycena!$C$22="-","",FO18)</f>
        <v/>
      </c>
      <c r="FU18" t="str">
        <f t="array" ref="FU18">IF(ROWS($FT$3:FT18)&gt;(ROWS($FT$3:$FT$23)-COUNTBLANK($FT$3:$FT$23)),"",INDEX($FT$3:$FT$23,SMALL(IF($FT$3:$FT$23&lt;&gt;"",ROW($FT$3:$FT$23)-2),ROWS($FT$3:FT18))))</f>
        <v/>
      </c>
      <c r="FW18" t="s">
        <v>47</v>
      </c>
      <c r="FX18" t="s">
        <v>561</v>
      </c>
      <c r="FY18" t="s">
        <v>561</v>
      </c>
      <c r="FZ18">
        <f>IF(OR(Wycena!$C$59=Mapping!$FW$5,Wycena!C59=Mapping!FW7,Wycena!C59=Mapping!FW8,Wycena!C59=Mapping!FW9,Wycena!C59=Mapping!FW10),0,400)</f>
        <v>400</v>
      </c>
      <c r="GA18" t="s">
        <v>815</v>
      </c>
      <c r="GB18">
        <v>500</v>
      </c>
      <c r="GC18" t="s">
        <v>815</v>
      </c>
      <c r="GD18" t="str">
        <f t="shared" si="3"/>
        <v>Klamko - gałka AXA Prestige Flex</v>
      </c>
      <c r="GJ18" t="str">
        <f>IF((HLOOKUP(VLOOKUP(Wycena!$C$59,Mapping!$GI$35:$GJ$43,2,0),$GD$1:$GI$33,2+GK18))=0,"",(HLOOKUP(VLOOKUP(Wycena!$C$59,Mapping!$GI$35:$GJ$43,2,0),$GD$1:$GI$33,2+GK18)))</f>
        <v>Klamko - gałka AXA Prestige Flex</v>
      </c>
      <c r="GK18">
        <v>16</v>
      </c>
      <c r="GL18" t="e">
        <f t="array" ref="GL18">IF(ROWS($GJ$3:GJ18)&gt;(ROWS($GJ$3:$GJ$33)-COUNTBLANK($GJ$3:$GJ$33)),"",INDEX($GJ$3:$GJ$33,SMALL(IF($GJ$3:$GJ$33&lt;&gt;"",ROW($GJ$3:$GJ$33)-2),ROWS($GJ$3:GJ18))))</f>
        <v>#N/A</v>
      </c>
      <c r="GM18" t="s">
        <v>436</v>
      </c>
      <c r="GN18" t="s">
        <v>468</v>
      </c>
      <c r="GR18" t="str">
        <v>-</v>
      </c>
      <c r="GW18" t="s">
        <v>428</v>
      </c>
      <c r="GX18" t="s">
        <v>488</v>
      </c>
      <c r="HS18">
        <v>30</v>
      </c>
      <c r="HT18">
        <v>330</v>
      </c>
      <c r="HU18">
        <f>(1+IFERROR(VLOOKUP(Wycena!$C$45,Mapping!$EZ$3:$FC$6,4,1),0)+IFERROR(VLOOKUP(Wycena!$C$49,Mapping!$EZ$3:$FC$6,4,1),0))*HT18</f>
        <v>330</v>
      </c>
      <c r="IW18" s="11">
        <v>0.15</v>
      </c>
      <c r="IY18" s="8">
        <v>1600</v>
      </c>
    </row>
    <row r="19" spans="1:259" ht="20.399999999999999" customHeight="1" x14ac:dyDescent="0.35">
      <c r="A19" t="s">
        <v>95</v>
      </c>
      <c r="B19">
        <v>20</v>
      </c>
      <c r="C19">
        <v>20</v>
      </c>
      <c r="D19">
        <v>20</v>
      </c>
      <c r="E19">
        <v>20</v>
      </c>
      <c r="F19">
        <v>34</v>
      </c>
      <c r="G19">
        <v>34</v>
      </c>
      <c r="H19">
        <f t="shared" si="5"/>
        <v>36</v>
      </c>
      <c r="I19">
        <f t="shared" si="5"/>
        <v>36</v>
      </c>
      <c r="Q19" t="s">
        <v>267</v>
      </c>
      <c r="R19" t="s">
        <v>824</v>
      </c>
      <c r="Y19" t="s">
        <v>288</v>
      </c>
      <c r="Z19">
        <v>0</v>
      </c>
      <c r="AA19" t="str">
        <f t="shared" si="4"/>
        <v>RAL 7040</v>
      </c>
      <c r="AB19" t="str">
        <f>IF((VLOOKUP(Wycena!$C$7,Mapping!$Q$15:$R$20,2,0))="tak","",AA19)</f>
        <v>RAL 7040</v>
      </c>
      <c r="AC19" t="e" cm="1">
        <f t="array" ref="AC19">IF(ROWS($AB$3:AB19)&gt;(ROWS($AB$3:$AB$229)-COUNTBLANK($AB$3:$AB$229)),"",INDEX($AB$3:$AB$229,SMALL(IF($AB$3:$AB$229&lt;&gt;"",ROW($AB$3:$AB$229)-2),ROWS($AB$3:AB19))))</f>
        <v>#N/A</v>
      </c>
      <c r="AX19">
        <v>88</v>
      </c>
      <c r="AY19">
        <v>0</v>
      </c>
      <c r="AZ19">
        <v>0</v>
      </c>
      <c r="BA19">
        <f>IF(Wycena!$C$16=78,Mapping!AY19,AZ19)</f>
        <v>0</v>
      </c>
      <c r="BD19">
        <v>196</v>
      </c>
      <c r="BE19">
        <v>0</v>
      </c>
      <c r="BF19">
        <v>0</v>
      </c>
      <c r="BG19">
        <f>IF(Wycena!$C$16=78,Mapping!BE19,BF19)</f>
        <v>0</v>
      </c>
      <c r="CO19" t="s">
        <v>327</v>
      </c>
      <c r="CP19">
        <f>IF(Wycena!$C$14="Przylgowe",8,IF(Wycena!$C$14="Bezprzylgowe",6,0))</f>
        <v>8</v>
      </c>
      <c r="CQ19">
        <v>0</v>
      </c>
      <c r="CR19">
        <f>IF(Wycena!$C$14="Przylgowe",8,IF(Wycena!$C$14="Bezprzylgowe",6,0))</f>
        <v>8</v>
      </c>
      <c r="CS19">
        <v>0</v>
      </c>
      <c r="DA19">
        <v>21</v>
      </c>
      <c r="DB19">
        <f>IF(DA19&gt;=VLOOKUP(Wycena!$C$14,Mapping!$CY$3:$CZ$5,2,0),DA19,"")</f>
        <v>21</v>
      </c>
      <c r="DC19" cm="1">
        <f t="array" ref="DC19">IF(ROWS($DB$3:DB19)&gt;(ROWS($DB$3:$DB$28)-COUNTBLANK($DB$3:$DB$28)),"",INDEX($DB$3:$DB$28,SMALL(IF($DB$3:$DB$28&lt;&gt;"",ROW($DB$3:$DB$28)-2),ROWS($DB$3:DB19))))</f>
        <v>22</v>
      </c>
      <c r="DG19" s="12" t="s">
        <v>809</v>
      </c>
      <c r="DH19" s="12"/>
      <c r="DI19" s="12"/>
      <c r="DK19">
        <v>21</v>
      </c>
      <c r="DL19">
        <f>IF(DK19&gt;=VLOOKUP(Wycena!$C$14,Mapping!$DG$3:$DH$5,2,0),DK19,"")</f>
        <v>21</v>
      </c>
      <c r="DM19" cm="1">
        <f t="array" ref="DM19">IF(ROWS($DL$3:DL19)&gt;(ROWS($DL$3:$DL$28)-COUNTBLANK($DL$3:$DL$28)),"",INDEX($DL$3:$DL$28,SMALL(IF($DL$3:$DL$28&lt;&gt;"",ROW($DL$3:$DL$28)-2),ROWS($DL$3:DL19))))</f>
        <v>22</v>
      </c>
      <c r="DN19">
        <f>IF(DK19&gt;=VLOOKUP(Wycena!$C$14,Mapping!$DG$3:$DI$5,3,0),DK19,"")</f>
        <v>21</v>
      </c>
      <c r="DO19" cm="1">
        <f t="array" ref="DO19">IF(ROWS($DN$3:DN19)&gt;(ROWS($DN$3:$DN$28)-COUNTBLANK($DN$3:$DN$28)),"",INDEX($DN$3:$DN$28,SMALL(IF($DN$3:$DN$28&lt;&gt;"",ROW($DN$3:$DN$28)-2),ROWS($DN$3:DN19))))</f>
        <v>22</v>
      </c>
      <c r="DS19">
        <v>21</v>
      </c>
      <c r="DT19">
        <f>IF(DS19&gt;=VLOOKUP(Wycena!$C$25,Mapping!$DQ$3:$DR$4,2,0),DS19,"")</f>
        <v>21</v>
      </c>
      <c r="DU19" cm="1">
        <f t="array" ref="DU19">IF(ROWS($DT$3:DT19)&gt;(ROWS($DT$3:$DT$28)-COUNTBLANK($DT$3:$DT$28)),"",INDEX($DT$3:$DT$28,SMALL(IF($DT$3:$DT$28&lt;&gt;"",ROW($DT$3:$DT$28)-2),ROWS($DT$3:DT19))))</f>
        <v>26</v>
      </c>
      <c r="DW19">
        <v>16</v>
      </c>
      <c r="FE19" t="s">
        <v>378</v>
      </c>
      <c r="FO19">
        <v>16</v>
      </c>
      <c r="FP19" t="str">
        <f>IF(Wycena!$C$20="-","",FO19)</f>
        <v/>
      </c>
      <c r="FQ19" t="str" cm="1">
        <f t="array" ref="FQ19">IF(ROWS($FP$3:FP19)&gt;(ROWS($FP$3:$FP$23)-COUNTBLANK($FP$3:$FP$23)),"",INDEX($FP$3:$FP$23,SMALL(IF($FP$3:$FP$23&lt;&gt;"",ROW($FP$3:$FP$23)-2),ROWS($FP$3:FP19))))</f>
        <v/>
      </c>
      <c r="FR19" t="str">
        <f>IF(Wycena!$C$21="-","",FO19)</f>
        <v/>
      </c>
      <c r="FS19" t="str" cm="1">
        <f t="array" ref="FS19">IF(ROWS($FR$3:FR19)&gt;(ROWS($FR$3:$FR$23)-COUNTBLANK($FR$3:$FR$23)),"",INDEX($FR$3:$FR$23,SMALL(IF($FR$3:$FR$23&lt;&gt;"",ROW($FR$3:$FR$23)-2),ROWS($FR$3:FR19))))</f>
        <v/>
      </c>
      <c r="FT19" t="str">
        <f>IF(Wycena!$C$22="-","",FO19)</f>
        <v/>
      </c>
      <c r="FU19" t="str">
        <f t="array" ref="FU19">IF(ROWS($FT$3:FT19)&gt;(ROWS($FT$3:$FT$23)-COUNTBLANK($FT$3:$FT$23)),"",INDEX($FT$3:$FT$23,SMALL(IF($FT$3:$FT$23&lt;&gt;"",ROW($FT$3:$FT$23)-2),ROWS($FT$3:FT19))))</f>
        <v/>
      </c>
      <c r="FW19" t="s">
        <v>47</v>
      </c>
      <c r="FX19" t="s">
        <v>562</v>
      </c>
      <c r="FY19" t="s">
        <v>562</v>
      </c>
      <c r="FZ19">
        <f>IF(OR(Wycena!$C$59=Mapping!$FW$5,Wycena!C59=Mapping!FW7,Wycena!C59=Mapping!FW8,Wycena!C59=Mapping!FW9,Wycena!C59=Mapping!FW10),0,400)</f>
        <v>400</v>
      </c>
      <c r="GA19" t="s">
        <v>447</v>
      </c>
      <c r="GB19">
        <v>1700</v>
      </c>
      <c r="GC19" t="s">
        <v>447</v>
      </c>
      <c r="GD19" t="str">
        <f>IF(OR(Wycena!C60=Mapping!FY20,Wycena!C60=Mapping!FY17,Wycena!C60="-"),"",GC19)</f>
        <v/>
      </c>
      <c r="GJ19" t="str">
        <f>IF((HLOOKUP(VLOOKUP(Wycena!$C$59,Mapping!$GI$35:$GJ$43,2,0),$GD$1:$GI$33,2+GK19))=0,"",(HLOOKUP(VLOOKUP(Wycena!$C$59,Mapping!$GI$35:$GJ$43,2,0),$GD$1:$GI$33,2+GK19)))</f>
        <v/>
      </c>
      <c r="GK19">
        <v>17</v>
      </c>
      <c r="GL19" t="e">
        <f t="array" ref="GL19">IF(ROWS($GJ$3:GJ19)&gt;(ROWS($GJ$3:$GJ$33)-COUNTBLANK($GJ$3:$GJ$33)),"",INDEX($GJ$3:$GJ$33,SMALL(IF($GJ$3:$GJ$33&lt;&gt;"",ROW($GJ$3:$GJ$33)-2),ROWS($GJ$3:GJ19))))</f>
        <v>#N/A</v>
      </c>
      <c r="GM19" t="s">
        <v>436</v>
      </c>
      <c r="GN19" t="s">
        <v>469</v>
      </c>
      <c r="GW19" t="s">
        <v>427</v>
      </c>
      <c r="GX19" t="s">
        <v>15</v>
      </c>
      <c r="HS19">
        <v>35</v>
      </c>
      <c r="HT19">
        <f>3*110+70</f>
        <v>400</v>
      </c>
      <c r="HU19">
        <f>(1+IFERROR(VLOOKUP(Wycena!$C$45,Mapping!$EZ$3:$FC$6,4,1),0)+IFERROR(VLOOKUP(Wycena!$C$49,Mapping!$EZ$3:$FC$6,4,1),0))*HT19</f>
        <v>400</v>
      </c>
      <c r="IY19" s="8">
        <v>1700</v>
      </c>
    </row>
    <row r="20" spans="1:259" x14ac:dyDescent="0.35">
      <c r="A20" t="s">
        <v>96</v>
      </c>
      <c r="B20">
        <v>20</v>
      </c>
      <c r="C20">
        <v>20</v>
      </c>
      <c r="D20">
        <v>20</v>
      </c>
      <c r="E20">
        <v>20</v>
      </c>
      <c r="F20">
        <v>34</v>
      </c>
      <c r="G20">
        <v>34</v>
      </c>
      <c r="H20">
        <f t="shared" si="5"/>
        <v>36</v>
      </c>
      <c r="I20">
        <f t="shared" si="5"/>
        <v>36</v>
      </c>
      <c r="Q20" t="s">
        <v>268</v>
      </c>
      <c r="R20" t="s">
        <v>824</v>
      </c>
      <c r="Y20" t="s">
        <v>287</v>
      </c>
      <c r="Z20">
        <v>0</v>
      </c>
      <c r="AA20" t="str">
        <f t="shared" si="4"/>
        <v>RAL 7047</v>
      </c>
      <c r="AB20" t="str">
        <f>IF((VLOOKUP(Wycena!$C$7,Mapping!$Q$15:$R$20,2,0))="tak","",AA20)</f>
        <v>RAL 7047</v>
      </c>
      <c r="AC20" t="e" cm="1">
        <f t="array" ref="AC20">IF(ROWS($AB$3:AB20)&gt;(ROWS($AB$3:$AB$229)-COUNTBLANK($AB$3:$AB$229)),"",INDEX($AB$3:$AB$229,SMALL(IF($AB$3:$AB$229&lt;&gt;"",ROW($AB$3:$AB$229)-2),ROWS($AB$3:AB20))))</f>
        <v>#N/A</v>
      </c>
      <c r="AX20">
        <v>89</v>
      </c>
      <c r="AY20">
        <v>0</v>
      </c>
      <c r="AZ20">
        <v>0</v>
      </c>
      <c r="BA20">
        <f>IF(Wycena!$C$16=78,Mapping!AY20,AZ20)</f>
        <v>0</v>
      </c>
      <c r="BD20">
        <v>197</v>
      </c>
      <c r="BE20">
        <v>0</v>
      </c>
      <c r="BF20">
        <v>0</v>
      </c>
      <c r="BG20">
        <f>IF(Wycena!$C$16=78,Mapping!BE20,BF20)</f>
        <v>0</v>
      </c>
      <c r="CO20" t="s">
        <v>328</v>
      </c>
      <c r="CQ20">
        <f>IF(Wycena!$C$14="Przylgowe",8,IF(Wycena!$C$14="Bezprzylgowe",6,0))</f>
        <v>8</v>
      </c>
      <c r="CR20">
        <f>IF(Wycena!$C$14="Przylgowe",8,IF(Wycena!$C$14="Bezprzylgowe",6,0))</f>
        <v>8</v>
      </c>
      <c r="CS20">
        <f>IF(Wycena!$C$14="Przylgowe",8,IF(Wycena!$C$14="Bezprzylgowe",6,0))</f>
        <v>8</v>
      </c>
      <c r="DA20">
        <v>22</v>
      </c>
      <c r="DB20">
        <f>IF(DA20&gt;=VLOOKUP(Wycena!$C$14,Mapping!$CY$3:$CZ$5,2,0),DA20,"")</f>
        <v>22</v>
      </c>
      <c r="DC20" cm="1">
        <f t="array" ref="DC20">IF(ROWS($DB$3:DB20)&gt;(ROWS($DB$3:$DB$28)-COUNTBLANK($DB$3:$DB$28)),"",INDEX($DB$3:$DB$28,SMALL(IF($DB$3:$DB$28&lt;&gt;"",ROW($DB$3:$DB$28)-2),ROWS($DB$3:DB20))))</f>
        <v>23</v>
      </c>
      <c r="DH20" s="10"/>
      <c r="DK20">
        <v>22</v>
      </c>
      <c r="DL20">
        <f>IF(DK20&gt;=VLOOKUP(Wycena!$C$14,Mapping!$DG$3:$DH$5,2,0),DK20,"")</f>
        <v>22</v>
      </c>
      <c r="DM20" cm="1">
        <f t="array" ref="DM20">IF(ROWS($DL$3:DL20)&gt;(ROWS($DL$3:$DL$28)-COUNTBLANK($DL$3:$DL$28)),"",INDEX($DL$3:$DL$28,SMALL(IF($DL$3:$DL$28&lt;&gt;"",ROW($DL$3:$DL$28)-2),ROWS($DL$3:DL20))))</f>
        <v>23</v>
      </c>
      <c r="DN20">
        <f>IF(DK20&gt;=VLOOKUP(Wycena!$C$14,Mapping!$DG$3:$DI$5,3,0),DK20,"")</f>
        <v>22</v>
      </c>
      <c r="DO20" cm="1">
        <f t="array" ref="DO20">IF(ROWS($DN$3:DN20)&gt;(ROWS($DN$3:$DN$28)-COUNTBLANK($DN$3:$DN$28)),"",INDEX($DN$3:$DN$28,SMALL(IF($DN$3:$DN$28&lt;&gt;"",ROW($DN$3:$DN$28)-2),ROWS($DN$3:DN20))))</f>
        <v>23</v>
      </c>
      <c r="DS20">
        <v>22</v>
      </c>
      <c r="DT20">
        <f>IF(DS20&gt;=VLOOKUP(Wycena!$C$25,Mapping!$DQ$3:$DR$4,2,0),DS20,"")</f>
        <v>22</v>
      </c>
      <c r="DU20" cm="1">
        <f t="array" ref="DU20">IF(ROWS($DT$3:DT20)&gt;(ROWS($DT$3:$DT$28)-COUNTBLANK($DT$3:$DT$28)),"",INDEX($DT$3:$DT$28,SMALL(IF($DT$3:$DT$28&lt;&gt;"",ROW($DT$3:$DT$28)-2),ROWS($DT$3:DT20))))</f>
        <v>27</v>
      </c>
      <c r="DW20">
        <v>17</v>
      </c>
      <c r="FE20" t="s">
        <v>379</v>
      </c>
      <c r="FO20">
        <v>17</v>
      </c>
      <c r="FP20" t="str">
        <f>IF(Wycena!$C$20="-","",FO20)</f>
        <v/>
      </c>
      <c r="FQ20" t="str" cm="1">
        <f t="array" ref="FQ20">IF(ROWS($FP$3:FP20)&gt;(ROWS($FP$3:$FP$23)-COUNTBLANK($FP$3:$FP$23)),"",INDEX($FP$3:$FP$23,SMALL(IF($FP$3:$FP$23&lt;&gt;"",ROW($FP$3:$FP$23)-2),ROWS($FP$3:FP20))))</f>
        <v/>
      </c>
      <c r="FR20" t="str">
        <f>IF(Wycena!$C$21="-","",FO20)</f>
        <v/>
      </c>
      <c r="FS20" t="str" cm="1">
        <f t="array" ref="FS20">IF(ROWS($FR$3:FR20)&gt;(ROWS($FR$3:$FR$23)-COUNTBLANK($FR$3:$FR$23)),"",INDEX($FR$3:$FR$23,SMALL(IF($FR$3:$FR$23&lt;&gt;"",ROW($FR$3:$FR$23)-2),ROWS($FR$3:FR20))))</f>
        <v/>
      </c>
      <c r="FT20" t="str">
        <f>IF(Wycena!$C$22="-","",FO20)</f>
        <v/>
      </c>
      <c r="FU20" t="str">
        <f t="array" ref="FU20">IF(ROWS($FT$3:FT20)&gt;(ROWS($FT$3:$FT$23)-COUNTBLANK($FT$3:$FT$23)),"",INDEX($FT$3:$FT$23,SMALL(IF($FT$3:$FT$23&lt;&gt;"",ROW($FT$3:$FT$23)-2),ROWS($FT$3:FT20))))</f>
        <v/>
      </c>
      <c r="FW20" t="s">
        <v>47</v>
      </c>
      <c r="FX20" t="s">
        <v>552</v>
      </c>
      <c r="FY20" t="s">
        <v>552</v>
      </c>
      <c r="FZ20">
        <f>600-IF(Wycena!C59=Mapping!FY31,600,0)-IF(Wycena!C59=Mapping!FY30,300,0)</f>
        <v>600</v>
      </c>
      <c r="GA20" t="s">
        <v>458</v>
      </c>
      <c r="GB20">
        <v>0</v>
      </c>
      <c r="GC20" t="s">
        <v>458</v>
      </c>
      <c r="GG20" t="str">
        <f>GC20</f>
        <v>Pochwyt Eva</v>
      </c>
      <c r="GJ20" t="str">
        <f>IF((HLOOKUP(VLOOKUP(Wycena!$C$59,Mapping!$GI$35:$GJ$43,2,0),$GD$1:$GI$33,2+GK20))=0,"",(HLOOKUP(VLOOKUP(Wycena!$C$59,Mapping!$GI$35:$GJ$43,2,0),$GD$1:$GI$33,2+GK20)))</f>
        <v/>
      </c>
      <c r="GK20">
        <v>18</v>
      </c>
      <c r="GL20" t="e">
        <f t="array" ref="GL20">IF(ROWS($GJ$3:GJ20)&gt;(ROWS($GJ$3:$GJ$33)-COUNTBLANK($GJ$3:$GJ$33)),"",INDEX($GJ$3:$GJ$33,SMALL(IF($GJ$3:$GJ$33&lt;&gt;"",ROW($GJ$3:$GJ$33)-2),ROWS($GJ$3:GJ20))))</f>
        <v>#N/A</v>
      </c>
      <c r="GM20" t="s">
        <v>438</v>
      </c>
      <c r="GN20" t="s">
        <v>466</v>
      </c>
      <c r="GW20" t="s">
        <v>429</v>
      </c>
      <c r="GX20" t="s">
        <v>15</v>
      </c>
      <c r="HS20">
        <v>40</v>
      </c>
      <c r="HT20">
        <f>4*110</f>
        <v>440</v>
      </c>
      <c r="HU20">
        <f>(1+IFERROR(VLOOKUP(Wycena!$C$45,Mapping!$EZ$3:$FC$6,4,1),0)+IFERROR(VLOOKUP(Wycena!$C$49,Mapping!$EZ$3:$FC$6,4,1),0))*HT20</f>
        <v>440</v>
      </c>
      <c r="IY20" s="8">
        <v>1800</v>
      </c>
    </row>
    <row r="21" spans="1:259" x14ac:dyDescent="0.35">
      <c r="A21" t="s">
        <v>98</v>
      </c>
      <c r="B21">
        <v>20</v>
      </c>
      <c r="C21">
        <v>20</v>
      </c>
      <c r="D21">
        <v>20</v>
      </c>
      <c r="E21">
        <v>20</v>
      </c>
      <c r="F21">
        <v>34</v>
      </c>
      <c r="G21">
        <v>34</v>
      </c>
      <c r="H21">
        <f t="shared" si="5"/>
        <v>36</v>
      </c>
      <c r="I21">
        <f t="shared" si="5"/>
        <v>36</v>
      </c>
      <c r="Y21" s="9" t="s">
        <v>563</v>
      </c>
      <c r="Z21">
        <v>500</v>
      </c>
      <c r="AA21" t="str">
        <f>Y21</f>
        <v>--- RAL inny ---</v>
      </c>
      <c r="AB21" t="str">
        <f>IF((VLOOKUP(Wycena!$C$7,Mapping!$Q$15:$R$20,2,0))="tak","",AA21)</f>
        <v>--- RAL inny ---</v>
      </c>
      <c r="AC21" t="e" cm="1">
        <f t="array" ref="AC21">IF(ROWS($AB$3:AB21)&gt;(ROWS($AB$3:$AB$229)-COUNTBLANK($AB$3:$AB$229)),"",INDEX($AB$3:$AB$229,SMALL(IF($AB$3:$AB$229&lt;&gt;"",ROW($AB$3:$AB$229)-2),ROWS($AB$3:AB21))))</f>
        <v>#N/A</v>
      </c>
      <c r="AX21">
        <v>90</v>
      </c>
      <c r="AY21">
        <v>0</v>
      </c>
      <c r="AZ21">
        <v>0</v>
      </c>
      <c r="BA21">
        <f>IF(Wycena!$C$16=78,Mapping!AY21,AZ21)</f>
        <v>0</v>
      </c>
      <c r="BD21">
        <v>198</v>
      </c>
      <c r="BE21">
        <v>0</v>
      </c>
      <c r="BF21">
        <v>0</v>
      </c>
      <c r="BG21">
        <f>IF(Wycena!$C$16=78,Mapping!BE21,BF21)</f>
        <v>0</v>
      </c>
      <c r="CO21" t="s">
        <v>329</v>
      </c>
      <c r="CQ21">
        <f>IF(Wycena!$C$14="Przylgowe",8,IF(Wycena!$C$14="Bezprzylgowe",6,0))</f>
        <v>8</v>
      </c>
      <c r="CR21">
        <f>IF(Wycena!$C$14="Przylgowe",8,IF(Wycena!$C$14="Bezprzylgowe",6,0))</f>
        <v>8</v>
      </c>
      <c r="CS21">
        <f>IF(Wycena!$C$14="Przylgowe",8,IF(Wycena!$C$14="Bezprzylgowe",6,0))</f>
        <v>8</v>
      </c>
      <c r="DA21">
        <v>23</v>
      </c>
      <c r="DB21">
        <f>IF(DA21&gt;=VLOOKUP(Wycena!$C$14,Mapping!$CY$3:$CZ$5,2,0),DA21,"")</f>
        <v>23</v>
      </c>
      <c r="DC21" cm="1">
        <f t="array" ref="DC21">IF(ROWS($DB$3:DB21)&gt;(ROWS($DB$3:$DB$28)-COUNTBLANK($DB$3:$DB$28)),"",INDEX($DB$3:$DB$28,SMALL(IF($DB$3:$DB$28&lt;&gt;"",ROW($DB$3:$DB$28)-2),ROWS($DB$3:DB21))))</f>
        <v>24</v>
      </c>
      <c r="DG21" t="s">
        <v>176</v>
      </c>
      <c r="DH21">
        <v>12</v>
      </c>
      <c r="DK21">
        <v>23</v>
      </c>
      <c r="DL21">
        <f>IF(DK21&gt;=VLOOKUP(Wycena!$C$14,Mapping!$DG$3:$DH$5,2,0),DK21,"")</f>
        <v>23</v>
      </c>
      <c r="DM21" cm="1">
        <f t="array" ref="DM21">IF(ROWS($DL$3:DL21)&gt;(ROWS($DL$3:$DL$28)-COUNTBLANK($DL$3:$DL$28)),"",INDEX($DL$3:$DL$28,SMALL(IF($DL$3:$DL$28&lt;&gt;"",ROW($DL$3:$DL$28)-2),ROWS($DL$3:DL21))))</f>
        <v>24</v>
      </c>
      <c r="DN21">
        <f>IF(DK21&gt;=VLOOKUP(Wycena!$C$14,Mapping!$DG$3:$DI$5,3,0),DK21,"")</f>
        <v>23</v>
      </c>
      <c r="DO21" cm="1">
        <f t="array" ref="DO21">IF(ROWS($DN$3:DN21)&gt;(ROWS($DN$3:$DN$28)-COUNTBLANK($DN$3:$DN$28)),"",INDEX($DN$3:$DN$28,SMALL(IF($DN$3:$DN$28&lt;&gt;"",ROW($DN$3:$DN$28)-2),ROWS($DN$3:DN21))))</f>
        <v>24</v>
      </c>
      <c r="DS21">
        <v>23</v>
      </c>
      <c r="DT21">
        <f>IF(DS21&gt;=VLOOKUP(Wycena!$C$25,Mapping!$DQ$3:$DR$4,2,0),DS21,"")</f>
        <v>23</v>
      </c>
      <c r="DU21" cm="1">
        <f t="array" ref="DU21">IF(ROWS($DT$3:DT21)&gt;(ROWS($DT$3:$DT$28)-COUNTBLANK($DT$3:$DT$28)),"",INDEX($DT$3:$DT$28,SMALL(IF($DT$3:$DT$28&lt;&gt;"",ROW($DT$3:$DT$28)-2),ROWS($DT$3:DT21))))</f>
        <v>28</v>
      </c>
      <c r="DW21">
        <v>18</v>
      </c>
      <c r="FO21">
        <v>18</v>
      </c>
      <c r="FP21" t="str">
        <f>IF(Wycena!$C$20="-","",FO21)</f>
        <v/>
      </c>
      <c r="FQ21" t="str" cm="1">
        <f t="array" ref="FQ21">IF(ROWS($FP$3:FP21)&gt;(ROWS($FP$3:$FP$23)-COUNTBLANK($FP$3:$FP$23)),"",INDEX($FP$3:$FP$23,SMALL(IF($FP$3:$FP$23&lt;&gt;"",ROW($FP$3:$FP$23)-2),ROWS($FP$3:FP21))))</f>
        <v/>
      </c>
      <c r="FR21" t="str">
        <f>IF(Wycena!$C$21="-","",FO21)</f>
        <v/>
      </c>
      <c r="FS21" t="str" cm="1">
        <f t="array" ref="FS21">IF(ROWS($FR$3:FR21)&gt;(ROWS($FR$3:$FR$23)-COUNTBLANK($FR$3:$FR$23)),"",INDEX($FR$3:$FR$23,SMALL(IF($FR$3:$FR$23&lt;&gt;"",ROW($FR$3:$FR$23)-2),ROWS($FR$3:FR21))))</f>
        <v/>
      </c>
      <c r="FT21" t="str">
        <f>IF(Wycena!$C$22="-","",FO21)</f>
        <v/>
      </c>
      <c r="FU21" t="str">
        <f t="array" ref="FU21">IF(ROWS($FT$3:FT21)&gt;(ROWS($FT$3:$FT$23)-COUNTBLANK($FT$3:$FT$23)),"",INDEX($FT$3:$FT$23,SMALL(IF($FT$3:$FT$23&lt;&gt;"",ROW($FT$3:$FT$23)-2),ROWS($FT$3:FT21))))</f>
        <v/>
      </c>
      <c r="FW21" t="s">
        <v>47</v>
      </c>
      <c r="FX21" t="s">
        <v>806</v>
      </c>
      <c r="FY21" t="s">
        <v>806</v>
      </c>
      <c r="FZ21">
        <f>IFERROR(IF(VLOOKUP(Wycena!C59,Mapping!$FY$26:$FZ$29,2,0)&gt;0,0,800),800)</f>
        <v>800</v>
      </c>
      <c r="GA21" t="s">
        <v>459</v>
      </c>
      <c r="GB21">
        <v>0</v>
      </c>
      <c r="GC21" t="s">
        <v>459</v>
      </c>
      <c r="GG21" t="str">
        <f>GC21</f>
        <v>Pochwyt Maddalena</v>
      </c>
      <c r="GJ21" t="str">
        <f>IF((HLOOKUP(VLOOKUP(Wycena!$C$59,Mapping!$GI$35:$GJ$43,2,0),$GD$1:$GI$33,2+GK21))=0,"",(HLOOKUP(VLOOKUP(Wycena!$C$59,Mapping!$GI$35:$GJ$43,2,0),$GD$1:$GI$33,2+GK21)))</f>
        <v/>
      </c>
      <c r="GK21">
        <v>19</v>
      </c>
      <c r="GL21" t="e">
        <f t="array" ref="GL21">IF(ROWS($GJ$3:GJ21)&gt;(ROWS($GJ$3:$GJ$33)-COUNTBLANK($GJ$3:$GJ$33)),"",INDEX($GJ$3:$GJ$33,SMALL(IF($GJ$3:$GJ$33&lt;&gt;"",ROW($GJ$3:$GJ$33)-2),ROWS($GJ$3:GJ21))))</f>
        <v>#N/A</v>
      </c>
      <c r="GM21" t="s">
        <v>438</v>
      </c>
      <c r="GN21" t="s">
        <v>472</v>
      </c>
      <c r="GW21" t="s">
        <v>426</v>
      </c>
      <c r="GX21" t="s">
        <v>15</v>
      </c>
      <c r="HS21" t="s">
        <v>263</v>
      </c>
      <c r="HT21" t="s">
        <v>263</v>
      </c>
      <c r="HU21" t="s">
        <v>263</v>
      </c>
      <c r="IY21" s="8">
        <v>1900</v>
      </c>
    </row>
    <row r="22" spans="1:259" x14ac:dyDescent="0.35">
      <c r="A22" t="s">
        <v>99</v>
      </c>
      <c r="B22">
        <v>20</v>
      </c>
      <c r="C22">
        <v>20</v>
      </c>
      <c r="D22">
        <v>20</v>
      </c>
      <c r="E22">
        <v>20</v>
      </c>
      <c r="F22">
        <v>34</v>
      </c>
      <c r="G22">
        <v>34</v>
      </c>
      <c r="H22">
        <f t="shared" si="5"/>
        <v>36</v>
      </c>
      <c r="I22">
        <f t="shared" si="5"/>
        <v>36</v>
      </c>
      <c r="Y22" t="s">
        <v>564</v>
      </c>
      <c r="Z22">
        <v>500</v>
      </c>
      <c r="AA22" t="str">
        <f t="shared" si="4"/>
        <v>RAL 1000</v>
      </c>
      <c r="AB22" t="str">
        <f>IF((VLOOKUP(Wycena!$C$7,Mapping!$Q$15:$R$20,2,0))="tak","",AA22)</f>
        <v>RAL 1000</v>
      </c>
      <c r="AC22" t="e" cm="1">
        <f t="array" ref="AC22">IF(ROWS($AB$3:AB22)&gt;(ROWS($AB$3:$AB$229)-COUNTBLANK($AB$3:$AB$229)),"",INDEX($AB$3:$AB$229,SMALL(IF($AB$3:$AB$229&lt;&gt;"",ROW($AB$3:$AB$229)-2),ROWS($AB$3:AB22))))</f>
        <v>#N/A</v>
      </c>
      <c r="AX22">
        <v>91</v>
      </c>
      <c r="AY22">
        <v>0</v>
      </c>
      <c r="AZ22">
        <v>0</v>
      </c>
      <c r="BA22">
        <f>IF(Wycena!$C$16=78,Mapping!AY22,AZ22)</f>
        <v>0</v>
      </c>
      <c r="BD22">
        <v>199</v>
      </c>
      <c r="BE22">
        <v>0</v>
      </c>
      <c r="BF22">
        <v>0</v>
      </c>
      <c r="BG22">
        <f>IF(Wycena!$C$16=78,Mapping!BE22,BF22)</f>
        <v>0</v>
      </c>
      <c r="CO22" t="s">
        <v>330</v>
      </c>
      <c r="CP22">
        <f>IF(Wycena!$C$14="Przylgowe",8,IF(Wycena!$C$14="Bezprzylgowe",6,0))</f>
        <v>8</v>
      </c>
      <c r="CQ22">
        <v>0</v>
      </c>
      <c r="CR22">
        <f>IF(Wycena!$C$14="Przylgowe",8,IF(Wycena!$C$14="Bezprzylgowe",6,0))</f>
        <v>8</v>
      </c>
      <c r="CS22">
        <v>0</v>
      </c>
      <c r="DA22">
        <v>24</v>
      </c>
      <c r="DB22">
        <f>IF(DA22&gt;=VLOOKUP(Wycena!$C$14,Mapping!$CY$3:$CZ$5,2,0),DA22,"")</f>
        <v>24</v>
      </c>
      <c r="DC22" cm="1">
        <f t="array" ref="DC22">IF(ROWS($DB$3:DB22)&gt;(ROWS($DB$3:$DB$28)-COUNTBLANK($DB$3:$DB$28)),"",INDEX($DB$3:$DB$28,SMALL(IF($DB$3:$DB$28&lt;&gt;"",ROW($DB$3:$DB$28)-2),ROWS($DB$3:DB22))))</f>
        <v>25</v>
      </c>
      <c r="DG22" t="s">
        <v>146</v>
      </c>
      <c r="DH22">
        <v>9</v>
      </c>
      <c r="DI22">
        <f>IF(OR(Wycena!$C$20="-",Wycena!$C$20="Imitacja skrzydła ruchoma"),(MAX((IFERROR(VLOOKUP(Wycena!C5,Mapping!$DG$21:$DH$23,2,0),0)),(VLOOKUP(Wycena!$C$25,Mapping!$CW$3:$CX$4,2,0)+VLOOKUP(Wycena!C26,$CO$16:$CS$25,IF(AND(Wycena!C20="-",Wycena!C21="-"),2,IF(AND(Wycena!C20&lt;&gt;"-",Wycena!C21="-"),3,IF(AND(Wycena!C20="-",Wycena!C21&lt;&gt;"-"),4,5))),0)))),(VLOOKUP(Wycena!$C$25,Mapping!$CW$3:$CX$4,2,0)+VLOOKUP(Wycena!C26,$CO$16:$CS$25,IF(AND(Wycena!C20="-",Wycena!C21="-"),2,IF(AND(Wycena!C20&lt;&gt;"-",Wycena!C21="-"),3,IF(AND(Wycena!C20="-",Wycena!C21&lt;&gt;"-"),4,5))),0)))</f>
        <v>6</v>
      </c>
      <c r="DJ22">
        <f>IF(Wycena!$C$21="Imitacja skrzydła ruchoma",(MAX((IFERROR(VLOOKUP(Wycena!C5,Mapping!$DG$21:$DH$23,2,0),0)),(VLOOKUP(Wycena!$C$25,Mapping!$CW$3:$CX$4,2,0)+VLOOKUP(Wycena!C26,$CO$28:$CS$37,IF(AND(Wycena!C20="-",Wycena!C21="-"),2,IF(AND(Wycena!C20&lt;&gt;"-",Wycena!C21="-"),3,IF(AND(Wycena!C20="-",Wycena!C21&lt;&gt;"-"),4,5))),0)))),(VLOOKUP(Wycena!$C$25,Mapping!$CW$3:$CX$4,2,0)+VLOOKUP(Wycena!C26,$CO$28:$CS$37,IF(AND(Wycena!C20="-",Wycena!C21="-"),2,IF(AND(Wycena!C20&lt;&gt;"-",Wycena!C21="-"),3,IF(AND(Wycena!C20="-",Wycena!C21&lt;&gt;"-"),4,5))),0)))</f>
        <v>6</v>
      </c>
      <c r="DK22">
        <v>24</v>
      </c>
      <c r="DL22">
        <f>IF(DK22&gt;=VLOOKUP(Wycena!$C$14,Mapping!$DG$3:$DH$5,2,0),DK22,"")</f>
        <v>24</v>
      </c>
      <c r="DM22" cm="1">
        <f t="array" ref="DM22">IF(ROWS($DL$3:DL22)&gt;(ROWS($DL$3:$DL$28)-COUNTBLANK($DL$3:$DL$28)),"",INDEX($DL$3:$DL$28,SMALL(IF($DL$3:$DL$28&lt;&gt;"",ROW($DL$3:$DL$28)-2),ROWS($DL$3:DL22))))</f>
        <v>25</v>
      </c>
      <c r="DN22">
        <f>IF(DK22&gt;=VLOOKUP(Wycena!$C$14,Mapping!$DG$3:$DI$5,3,0),DK22,"")</f>
        <v>24</v>
      </c>
      <c r="DO22" cm="1">
        <f t="array" ref="DO22">IF(ROWS($DN$3:DN22)&gt;(ROWS($DN$3:$DN$28)-COUNTBLANK($DN$3:$DN$28)),"",INDEX($DN$3:$DN$28,SMALL(IF($DN$3:$DN$28&lt;&gt;"",ROW($DN$3:$DN$28)-2),ROWS($DN$3:DN22))))</f>
        <v>25</v>
      </c>
      <c r="DS22">
        <v>24</v>
      </c>
      <c r="DT22">
        <f>IF(DS22&gt;=VLOOKUP(Wycena!$C$25,Mapping!$DQ$3:$DR$4,2,0),DS22,"")</f>
        <v>24</v>
      </c>
      <c r="DU22" cm="1">
        <f t="array" ref="DU22">IF(ROWS($DT$3:DT22)&gt;(ROWS($DT$3:$DT$28)-COUNTBLANK($DT$3:$DT$28)),"",INDEX($DT$3:$DT$28,SMALL(IF($DT$3:$DT$28&lt;&gt;"",ROW($DT$3:$DT$28)-2),ROWS($DT$3:DT22))))</f>
        <v>29</v>
      </c>
      <c r="DW22">
        <v>19</v>
      </c>
      <c r="FO22">
        <v>19</v>
      </c>
      <c r="FP22" t="str">
        <f>IF(Wycena!$C$20="-","",FO22)</f>
        <v/>
      </c>
      <c r="FQ22" t="str" cm="1">
        <f t="array" ref="FQ22">IF(ROWS($FP$3:FP22)&gt;(ROWS($FP$3:$FP$23)-COUNTBLANK($FP$3:$FP$23)),"",INDEX($FP$3:$FP$23,SMALL(IF($FP$3:$FP$23&lt;&gt;"",ROW($FP$3:$FP$23)-2),ROWS($FP$3:FP22))))</f>
        <v/>
      </c>
      <c r="FR22" t="str">
        <f>IF(Wycena!$C$21="-","",FO22)</f>
        <v/>
      </c>
      <c r="FS22" t="str" cm="1">
        <f t="array" ref="FS22">IF(ROWS($FR$3:FR22)&gt;(ROWS($FR$3:$FR$23)-COUNTBLANK($FR$3:$FR$23)),"",INDEX($FR$3:$FR$23,SMALL(IF($FR$3:$FR$23&lt;&gt;"",ROW($FR$3:$FR$23)-2),ROWS($FR$3:FR22))))</f>
        <v/>
      </c>
      <c r="FT22" t="str">
        <f>IF(Wycena!$C$22="-","",FO22)</f>
        <v/>
      </c>
      <c r="FU22" t="str">
        <f t="array" ref="FU22">IF(ROWS($FT$3:FT22)&gt;(ROWS($FT$3:$FT$23)-COUNTBLANK($FT$3:$FT$23)),"",INDEX($FT$3:$FT$23,SMALL(IF($FT$3:$FT$23&lt;&gt;"",ROW($FT$3:$FT$23)-2),ROWS($FT$3:FT22))))</f>
        <v/>
      </c>
      <c r="FW22" t="s">
        <v>47</v>
      </c>
      <c r="FX22" t="s">
        <v>807</v>
      </c>
      <c r="FY22" t="s">
        <v>807</v>
      </c>
      <c r="FZ22">
        <f>IFERROR(IF(VLOOKUP(Wycena!C59,Mapping!$FY$26:$FZ$29,2,0)&gt;0,0,800),800)</f>
        <v>800</v>
      </c>
      <c r="GA22" t="s">
        <v>450</v>
      </c>
      <c r="GB22">
        <v>900</v>
      </c>
      <c r="GC22" t="e">
        <f>IF(VLOOKUP(Wycena!$C$5,SKU!$B$1:$D$743,3,0)="Płytowe",GA22,"")</f>
        <v>#N/A</v>
      </c>
      <c r="GD22" t="e">
        <f t="shared" ref="GD22:GD33" si="6">GC22</f>
        <v>#N/A</v>
      </c>
      <c r="GE22" t="e">
        <f>GC22</f>
        <v>#N/A</v>
      </c>
      <c r="GF22" t="e">
        <f t="shared" ref="GF22:GF27" si="7">GC22</f>
        <v>#N/A</v>
      </c>
      <c r="GI22" t="e">
        <f>GC22</f>
        <v>#N/A</v>
      </c>
      <c r="GJ22" t="e">
        <f>IF((HLOOKUP(VLOOKUP(Wycena!$C$59,Mapping!$GI$35:$GJ$43,2,0),$GD$1:$GI$33,2+GK22))=0,"",(HLOOKUP(VLOOKUP(Wycena!$C$59,Mapping!$GI$35:$GJ$43,2,0),$GD$1:$GI$33,2+GK22)))</f>
        <v>#N/A</v>
      </c>
      <c r="GK22">
        <v>20</v>
      </c>
      <c r="GL22" t="e">
        <f t="array" ref="GL22">IF(ROWS($GJ$3:GJ22)&gt;(ROWS($GJ$3:$GJ$33)-COUNTBLANK($GJ$3:$GJ$33)),"",INDEX($GJ$3:$GJ$33,SMALL(IF($GJ$3:$GJ$33&lt;&gt;"",ROW($GJ$3:$GJ$33)-2),ROWS($GJ$3:GJ22))))</f>
        <v>#N/A</v>
      </c>
      <c r="GM22" t="s">
        <v>438</v>
      </c>
      <c r="GN22" t="s">
        <v>468</v>
      </c>
      <c r="GW22" t="s">
        <v>425</v>
      </c>
      <c r="GX22" t="s">
        <v>15</v>
      </c>
      <c r="IY22" s="8">
        <v>2000</v>
      </c>
    </row>
    <row r="23" spans="1:259" x14ac:dyDescent="0.35">
      <c r="A23" t="s">
        <v>100</v>
      </c>
      <c r="B23">
        <v>20</v>
      </c>
      <c r="C23">
        <v>20</v>
      </c>
      <c r="D23">
        <v>48</v>
      </c>
      <c r="E23">
        <v>48</v>
      </c>
      <c r="F23">
        <v>50</v>
      </c>
      <c r="G23">
        <v>50</v>
      </c>
      <c r="H23">
        <v>50</v>
      </c>
      <c r="I23">
        <v>50</v>
      </c>
      <c r="Y23" t="s">
        <v>565</v>
      </c>
      <c r="Z23">
        <v>500</v>
      </c>
      <c r="AA23" t="str">
        <f t="shared" si="4"/>
        <v>RAL 1001</v>
      </c>
      <c r="AB23" t="str">
        <f>IF((VLOOKUP(Wycena!$C$7,Mapping!$Q$15:$R$20,2,0))="tak","",AA23)</f>
        <v>RAL 1001</v>
      </c>
      <c r="AC23" t="e" cm="1">
        <f t="array" ref="AC23">IF(ROWS($AB$3:AB23)&gt;(ROWS($AB$3:$AB$229)-COUNTBLANK($AB$3:$AB$229)),"",INDEX($AB$3:$AB$229,SMALL(IF($AB$3:$AB$229&lt;&gt;"",ROW($AB$3:$AB$229)-2),ROWS($AB$3:AB23))))</f>
        <v>#N/A</v>
      </c>
      <c r="AX23">
        <v>92</v>
      </c>
      <c r="AY23">
        <v>0</v>
      </c>
      <c r="AZ23">
        <v>0</v>
      </c>
      <c r="BA23">
        <f>IF(Wycena!$C$16=78,Mapping!AY23,AZ23)</f>
        <v>0</v>
      </c>
      <c r="BD23">
        <v>200</v>
      </c>
      <c r="BE23">
        <v>0</v>
      </c>
      <c r="BF23">
        <v>0</v>
      </c>
      <c r="BG23">
        <f>IF(Wycena!$C$16=78,Mapping!BE23,BF23)</f>
        <v>0</v>
      </c>
      <c r="CO23" t="s">
        <v>331</v>
      </c>
      <c r="CP23">
        <f>IF(Wycena!$C$14="Przylgowe",8,IF(Wycena!$C$14="Bezprzylgowe",6,0))</f>
        <v>8</v>
      </c>
      <c r="CQ23">
        <v>0</v>
      </c>
      <c r="CR23">
        <f>IF(Wycena!$C$14="Przylgowe",8,IF(Wycena!$C$14="Bezprzylgowe",6,0))</f>
        <v>8</v>
      </c>
      <c r="CS23">
        <v>0</v>
      </c>
      <c r="DA23">
        <v>25</v>
      </c>
      <c r="DB23">
        <f>IF(DA23&gt;=VLOOKUP(Wycena!$C$14,Mapping!$CY$3:$CZ$5,2,0),DA23,"")</f>
        <v>25</v>
      </c>
      <c r="DC23" cm="1">
        <f t="array" ref="DC23">IF(ROWS($DB$3:DB23)&gt;(ROWS($DB$3:$DB$28)-COUNTBLANK($DB$3:$DB$28)),"",INDEX($DB$3:$DB$28,SMALL(IF($DB$3:$DB$28&lt;&gt;"",ROW($DB$3:$DB$28)-2),ROWS($DB$3:DB23))))</f>
        <v>26</v>
      </c>
      <c r="DG23" t="s">
        <v>147</v>
      </c>
      <c r="DH23">
        <v>9</v>
      </c>
      <c r="DI23">
        <f>IF(OR(Wycena!$C$20="-",Wycena!$C$20="Imitacja skrzydła ruchoma"),(MAX((IFERROR(VLOOKUP(Wycena!C5,Mapping!$DG$21:$DH$23,2,0),0)),(8+VLOOKUP(Wycena!C26,$CO$16:$CS$25,IF(AND(Wycena!C20="-",Wycena!C21="-"),2,IF(AND(Wycena!C20&lt;&gt;"-",Wycena!C21="-"),3,IF(AND(Wycena!C20="-",Wycena!C21&lt;&gt;"-"),4,5))),0)))),(8+VLOOKUP(Wycena!C26,$CO$16:$CS$25,IF(AND(Wycena!C20="-",Wycena!C21="-"),2,IF(AND(Wycena!C20&lt;&gt;"-",Wycena!C21="-"),3,IF(AND(Wycena!C20="-",Wycena!C21&lt;&gt;"-"),4,5))),0)))</f>
        <v>8</v>
      </c>
      <c r="DJ23">
        <f>IF(Wycena!$C$21="Imitacja skrzydła ruchoma",(MAX((IFERROR(VLOOKUP(Wycena!C5,Mapping!$DG$21:$DH$23,2,0),0)),(8+VLOOKUP(Wycena!C26,$CO$28:$CS$37,IF(AND(Wycena!C20="-",Wycena!C21="-"),2,IF(AND(Wycena!C20&lt;&gt;"-",Wycena!C21="-"),3,IF(AND(Wycena!C20="-",Wycena!C21&lt;&gt;"-"),4,5))),0)))),(8+VLOOKUP(Wycena!C26,$CO$28:$CS$37,IF(AND(Wycena!C20="-",Wycena!C21="-"),2,IF(AND(Wycena!C20&lt;&gt;"-",Wycena!C21="-"),3,IF(AND(Wycena!C20="-",Wycena!C21&lt;&gt;"-"),4,5))),0)))</f>
        <v>8</v>
      </c>
      <c r="DK23">
        <v>25</v>
      </c>
      <c r="DL23">
        <f>IF(DK23&gt;=VLOOKUP(Wycena!$C$14,Mapping!$DG$3:$DH$5,2,0),DK23,"")</f>
        <v>25</v>
      </c>
      <c r="DM23" cm="1">
        <f t="array" ref="DM23">IF(ROWS($DL$3:DL23)&gt;(ROWS($DL$3:$DL$28)-COUNTBLANK($DL$3:$DL$28)),"",INDEX($DL$3:$DL$28,SMALL(IF($DL$3:$DL$28&lt;&gt;"",ROW($DL$3:$DL$28)-2),ROWS($DL$3:DL23))))</f>
        <v>26</v>
      </c>
      <c r="DN23">
        <f>IF(DK23&gt;=VLOOKUP(Wycena!$C$14,Mapping!$DG$3:$DI$5,3,0),DK23,"")</f>
        <v>25</v>
      </c>
      <c r="DO23" cm="1">
        <f t="array" ref="DO23">IF(ROWS($DN$3:DN23)&gt;(ROWS($DN$3:$DN$28)-COUNTBLANK($DN$3:$DN$28)),"",INDEX($DN$3:$DN$28,SMALL(IF($DN$3:$DN$28&lt;&gt;"",ROW($DN$3:$DN$28)-2),ROWS($DN$3:DN23))))</f>
        <v>26</v>
      </c>
      <c r="DS23">
        <v>25</v>
      </c>
      <c r="DT23">
        <f>IF(DS23&gt;=VLOOKUP(Wycena!$C$25,Mapping!$DQ$3:$DR$4,2,0),DS23,"")</f>
        <v>25</v>
      </c>
      <c r="DU23" cm="1">
        <f t="array" ref="DU23">IF(ROWS($DT$3:DT23)&gt;(ROWS($DT$3:$DT$28)-COUNTBLANK($DT$3:$DT$28)),"",INDEX($DT$3:$DT$28,SMALL(IF($DT$3:$DT$28&lt;&gt;"",ROW($DT$3:$DT$28)-2),ROWS($DT$3:DT23))))</f>
        <v>30</v>
      </c>
      <c r="DW23">
        <v>20</v>
      </c>
      <c r="FO23">
        <v>20</v>
      </c>
      <c r="FP23" t="str">
        <f>IF(Wycena!$C$20="-","",FO23)</f>
        <v/>
      </c>
      <c r="FQ23" t="str" cm="1">
        <f t="array" ref="FQ23">IF(ROWS($FP$3:FP23)&gt;(ROWS($FP$3:$FP$23)-COUNTBLANK($FP$3:$FP$23)),"",INDEX($FP$3:$FP$23,SMALL(IF($FP$3:$FP$23&lt;&gt;"",ROW($FP$3:$FP$23)-2),ROWS($FP$3:FP23))))</f>
        <v/>
      </c>
      <c r="FR23" t="str">
        <f>IF(Wycena!$C$21="-","",FO23)</f>
        <v/>
      </c>
      <c r="FS23" t="str" cm="1">
        <f t="array" ref="FS23">IF(ROWS($FR$3:FR23)&gt;(ROWS($FR$3:$FR$23)-COUNTBLANK($FR$3:$FR$23)),"",INDEX($FR$3:$FR$23,SMALL(IF($FR$3:$FR$23&lt;&gt;"",ROW($FR$3:$FR$23)-2),ROWS($FR$3:FR23))))</f>
        <v/>
      </c>
      <c r="FT23" t="str">
        <f>IF(Wycena!$C$22="-","",FO23)</f>
        <v/>
      </c>
      <c r="FU23" t="str">
        <f t="array" ref="FU23">IF(ROWS($FT$3:FT23)&gt;(ROWS($FT$3:$FT$23)-COUNTBLANK($FT$3:$FT$23)),"",INDEX($FT$3:$FT$23,SMALL(IF($FT$3:$FT$23&lt;&gt;"",ROW($FT$3:$FT$23)-2),ROWS($FT$3:FT23))))</f>
        <v/>
      </c>
      <c r="FW23" t="s">
        <v>428</v>
      </c>
      <c r="FX23" t="s">
        <v>549</v>
      </c>
      <c r="FY23" t="s">
        <v>799</v>
      </c>
      <c r="FZ23">
        <v>0</v>
      </c>
      <c r="GA23" t="s">
        <v>451</v>
      </c>
      <c r="GB23">
        <v>1000</v>
      </c>
      <c r="GC23" t="e">
        <f>IF(VLOOKUP(Wycena!$C$5,SKU!$B$1:$D$743,3,0)="Płycinowe",GA23,"")</f>
        <v>#N/A</v>
      </c>
      <c r="GD23" t="e">
        <f t="shared" si="6"/>
        <v>#N/A</v>
      </c>
      <c r="GE23" t="e">
        <f t="shared" ref="GE23:GE27" si="8">GC23</f>
        <v>#N/A</v>
      </c>
      <c r="GF23" t="e">
        <f t="shared" si="7"/>
        <v>#N/A</v>
      </c>
      <c r="GI23" t="e">
        <f t="shared" ref="GI23:GI33" si="9">GC23</f>
        <v>#N/A</v>
      </c>
      <c r="GJ23" t="e">
        <f>IF((HLOOKUP(VLOOKUP(Wycena!$C$59,Mapping!$GI$35:$GJ$43,2,0),$GD$1:$GI$33,2+GK23))=0,"",(HLOOKUP(VLOOKUP(Wycena!$C$59,Mapping!$GI$35:$GJ$43,2,0),$GD$1:$GI$33,2+GK23)))</f>
        <v>#N/A</v>
      </c>
      <c r="GK23">
        <v>21</v>
      </c>
      <c r="GL23" t="e">
        <f t="array" ref="GL23">IF(ROWS($GJ$3:GJ23)&gt;(ROWS($GJ$3:$GJ$33)-COUNTBLANK($GJ$3:$GJ$33)),"",INDEX($GJ$3:$GJ$33,SMALL(IF($GJ$3:$GJ$33&lt;&gt;"",ROW($GJ$3:$GJ$33)-2),ROWS($GJ$3:GJ23))))</f>
        <v>#N/A</v>
      </c>
      <c r="GM23" t="s">
        <v>439</v>
      </c>
      <c r="GN23" t="s">
        <v>466</v>
      </c>
      <c r="GW23" t="s">
        <v>803</v>
      </c>
      <c r="GX23" t="s">
        <v>15</v>
      </c>
      <c r="HB23" t="s">
        <v>489</v>
      </c>
    </row>
    <row r="24" spans="1:259" x14ac:dyDescent="0.35">
      <c r="A24" t="s">
        <v>101</v>
      </c>
      <c r="B24">
        <v>20</v>
      </c>
      <c r="C24">
        <v>20</v>
      </c>
      <c r="D24">
        <v>20</v>
      </c>
      <c r="E24">
        <v>20</v>
      </c>
      <c r="F24">
        <v>34</v>
      </c>
      <c r="G24">
        <v>34</v>
      </c>
      <c r="H24">
        <f t="shared" ref="H24:H56" si="10">F24+2</f>
        <v>36</v>
      </c>
      <c r="I24">
        <f t="shared" ref="I24:I56" si="11">G24+2</f>
        <v>36</v>
      </c>
      <c r="Y24" t="s">
        <v>566</v>
      </c>
      <c r="Z24">
        <v>500</v>
      </c>
      <c r="AA24" t="str">
        <f t="shared" si="4"/>
        <v>RAL 1002</v>
      </c>
      <c r="AB24" t="str">
        <f>IF((VLOOKUP(Wycena!$C$7,Mapping!$Q$15:$R$20,2,0))="tak","",AA24)</f>
        <v>RAL 1002</v>
      </c>
      <c r="AC24" t="e" cm="1">
        <f t="array" ref="AC24">IF(ROWS($AB$3:AB24)&gt;(ROWS($AB$3:$AB$229)-COUNTBLANK($AB$3:$AB$229)),"",INDEX($AB$3:$AB$229,SMALL(IF($AB$3:$AB$229&lt;&gt;"",ROW($AB$3:$AB$229)-2),ROWS($AB$3:AB24))))</f>
        <v>#N/A</v>
      </c>
      <c r="AX24">
        <v>93</v>
      </c>
      <c r="AY24">
        <v>0</v>
      </c>
      <c r="AZ24">
        <v>0</v>
      </c>
      <c r="BA24">
        <f>IF(Wycena!$C$16=78,Mapping!AY24,AZ24)</f>
        <v>0</v>
      </c>
      <c r="BD24">
        <v>201</v>
      </c>
      <c r="BE24">
        <v>0</v>
      </c>
      <c r="BF24">
        <v>0</v>
      </c>
      <c r="BG24">
        <f>IF(Wycena!$C$16=78,Mapping!BE24,BF24)</f>
        <v>0</v>
      </c>
      <c r="CO24" t="s">
        <v>333</v>
      </c>
      <c r="CQ24">
        <f>IF(Wycena!$C$14="Przylgowe",8,IF(Wycena!$C$14="Bezprzylgowe",6,0))</f>
        <v>8</v>
      </c>
      <c r="CR24">
        <f>IF(Wycena!$C$14="Przylgowe",8,IF(Wycena!$C$14="Bezprzylgowe",6,0))</f>
        <v>8</v>
      </c>
      <c r="CS24">
        <f>IF(Wycena!$C$14="Przylgowe",8,IF(Wycena!$C$14="Bezprzylgowe",6,0))</f>
        <v>8</v>
      </c>
      <c r="DA24">
        <v>26</v>
      </c>
      <c r="DB24">
        <f>IF(DA24&gt;=VLOOKUP(Wycena!$C$14,Mapping!$CY$3:$CZ$5,2,0),DA24,"")</f>
        <v>26</v>
      </c>
      <c r="DC24" cm="1">
        <f t="array" ref="DC24">IF(ROWS($DB$3:DB24)&gt;(ROWS($DB$3:$DB$28)-COUNTBLANK($DB$3:$DB$28)),"",INDEX($DB$3:$DB$28,SMALL(IF($DB$3:$DB$28&lt;&gt;"",ROW($DB$3:$DB$28)-2),ROWS($DB$3:DB24))))</f>
        <v>27</v>
      </c>
      <c r="DG24" s="10"/>
      <c r="DH24" s="10"/>
      <c r="DI24" s="10"/>
      <c r="DK24">
        <v>26</v>
      </c>
      <c r="DL24">
        <f>IF(DK24&gt;=VLOOKUP(Wycena!$C$14,Mapping!$DG$3:$DH$5,2,0),DK24,"")</f>
        <v>26</v>
      </c>
      <c r="DM24" cm="1">
        <f t="array" ref="DM24">IF(ROWS($DL$3:DL24)&gt;(ROWS($DL$3:$DL$28)-COUNTBLANK($DL$3:$DL$28)),"",INDEX($DL$3:$DL$28,SMALL(IF($DL$3:$DL$28&lt;&gt;"",ROW($DL$3:$DL$28)-2),ROWS($DL$3:DL24))))</f>
        <v>27</v>
      </c>
      <c r="DN24">
        <f>IF(DK24&gt;=VLOOKUP(Wycena!$C$14,Mapping!$DG$3:$DI$5,3,0),DK24,"")</f>
        <v>26</v>
      </c>
      <c r="DO24" cm="1">
        <f t="array" ref="DO24">IF(ROWS($DN$3:DN24)&gt;(ROWS($DN$3:$DN$28)-COUNTBLANK($DN$3:$DN$28)),"",INDEX($DN$3:$DN$28,SMALL(IF($DN$3:$DN$28&lt;&gt;"",ROW($DN$3:$DN$28)-2),ROWS($DN$3:DN24))))</f>
        <v>27</v>
      </c>
      <c r="DS24">
        <v>26</v>
      </c>
      <c r="DT24">
        <f>IF(DS24&gt;=VLOOKUP(Wycena!$C$25,Mapping!$DQ$3:$DR$4,2,0),DS24,"")</f>
        <v>26</v>
      </c>
      <c r="DU24" t="str" cm="1">
        <f t="array" ref="DU24">IF(ROWS($DT$3:DT24)&gt;(ROWS($DT$3:$DT$28)-COUNTBLANK($DT$3:$DT$28)),"",INDEX($DT$3:$DT$28,SMALL(IF($DT$3:$DT$28&lt;&gt;"",ROW($DT$3:$DT$28)-2),ROWS($DT$3:DT24))))</f>
        <v/>
      </c>
      <c r="DW24">
        <v>21</v>
      </c>
      <c r="FO24" t="s">
        <v>263</v>
      </c>
      <c r="FP24" t="s">
        <v>263</v>
      </c>
      <c r="FQ24" t="s">
        <v>263</v>
      </c>
      <c r="FR24" t="s">
        <v>263</v>
      </c>
      <c r="FS24" t="s">
        <v>263</v>
      </c>
      <c r="FT24" t="s">
        <v>263</v>
      </c>
      <c r="FW24" t="s">
        <v>428</v>
      </c>
      <c r="FX24" t="s">
        <v>550</v>
      </c>
      <c r="FY24" t="s">
        <v>800</v>
      </c>
      <c r="FZ24">
        <v>400</v>
      </c>
      <c r="GJ24" t="str">
        <f>IF((HLOOKUP(VLOOKUP(Wycena!$C$59,Mapping!$GI$35:$GJ$43,2,0),$GD$1:$GI$33,2+GK24))=0,"",(HLOOKUP(VLOOKUP(Wycena!$C$59,Mapping!$GI$35:$GJ$43,2,0),$GD$1:$GI$33,2+GK24)))</f>
        <v/>
      </c>
      <c r="GK24">
        <v>22</v>
      </c>
      <c r="GL24" t="e">
        <f t="array" ref="GL24">IF(ROWS($GJ$3:GJ24)&gt;(ROWS($GJ$3:$GJ$33)-COUNTBLANK($GJ$3:$GJ$33)),"",INDEX($GJ$3:$GJ$33,SMALL(IF($GJ$3:$GJ$33&lt;&gt;"",ROW($GJ$3:$GJ$33)-2),ROWS($GJ$3:GJ24))))</f>
        <v>#N/A</v>
      </c>
      <c r="GM24" t="s">
        <v>439</v>
      </c>
      <c r="GN24" t="s">
        <v>472</v>
      </c>
      <c r="GW24" t="s">
        <v>804</v>
      </c>
      <c r="GX24" t="s">
        <v>15</v>
      </c>
      <c r="HB24" t="s">
        <v>47</v>
      </c>
      <c r="HC24" s="9" t="s">
        <v>15</v>
      </c>
    </row>
    <row r="25" spans="1:259" x14ac:dyDescent="0.35">
      <c r="A25" t="s">
        <v>102</v>
      </c>
      <c r="B25">
        <v>20</v>
      </c>
      <c r="C25">
        <v>20</v>
      </c>
      <c r="D25">
        <v>20</v>
      </c>
      <c r="E25">
        <v>20</v>
      </c>
      <c r="F25">
        <v>34</v>
      </c>
      <c r="G25">
        <v>34</v>
      </c>
      <c r="H25">
        <f t="shared" si="10"/>
        <v>36</v>
      </c>
      <c r="I25">
        <f t="shared" si="11"/>
        <v>36</v>
      </c>
      <c r="Y25" t="s">
        <v>567</v>
      </c>
      <c r="Z25">
        <v>500</v>
      </c>
      <c r="AA25" t="str">
        <f t="shared" si="4"/>
        <v>RAL 1003</v>
      </c>
      <c r="AB25" t="str">
        <f>IF((VLOOKUP(Wycena!$C$7,Mapping!$Q$15:$R$20,2,0))="tak","",AA25)</f>
        <v>RAL 1003</v>
      </c>
      <c r="AC25" t="e" cm="1">
        <f t="array" ref="AC25">IF(ROWS($AB$3:AB25)&gt;(ROWS($AB$3:$AB$229)-COUNTBLANK($AB$3:$AB$229)),"",INDEX($AB$3:$AB$229,SMALL(IF($AB$3:$AB$229&lt;&gt;"",ROW($AB$3:$AB$229)-2),ROWS($AB$3:AB25))))</f>
        <v>#N/A</v>
      </c>
      <c r="AX25">
        <v>94</v>
      </c>
      <c r="AY25">
        <v>0</v>
      </c>
      <c r="AZ25">
        <v>0</v>
      </c>
      <c r="BA25">
        <f>IF(Wycena!$C$16=78,Mapping!AY25,AZ25)</f>
        <v>0</v>
      </c>
      <c r="BD25">
        <v>202</v>
      </c>
      <c r="BE25">
        <v>0</v>
      </c>
      <c r="BF25">
        <v>0</v>
      </c>
      <c r="BG25">
        <f>IF(Wycena!$C$16=78,Mapping!BE25,BF25)</f>
        <v>0</v>
      </c>
      <c r="CO25" t="s">
        <v>332</v>
      </c>
      <c r="CQ25">
        <f>IF(Wycena!$C$14="Przylgowe",8,IF(Wycena!$C$14="Bezprzylgowe",6,0))</f>
        <v>8</v>
      </c>
      <c r="CR25">
        <f>IF(Wycena!$C$14="Przylgowe",8,IF(Wycena!$C$14="Bezprzylgowe",6,0))</f>
        <v>8</v>
      </c>
      <c r="CS25">
        <f>IF(Wycena!$C$14="Przylgowe",8,IF(Wycena!$C$14="Bezprzylgowe",6,0))</f>
        <v>8</v>
      </c>
      <c r="DA25">
        <v>27</v>
      </c>
      <c r="DB25">
        <f>IF(DA25&gt;=VLOOKUP(Wycena!$C$14,Mapping!$CY$3:$CZ$5,2,0),DA25,"")</f>
        <v>27</v>
      </c>
      <c r="DC25" cm="1">
        <f t="array" ref="DC25">IF(ROWS($DB$3:DB25)&gt;(ROWS($DB$3:$DB$28)-COUNTBLANK($DB$3:$DB$28)),"",INDEX($DB$3:$DB$28,SMALL(IF($DB$3:$DB$28&lt;&gt;"",ROW($DB$3:$DB$28)-2),ROWS($DB$3:DB25))))</f>
        <v>28</v>
      </c>
      <c r="DK25">
        <v>27</v>
      </c>
      <c r="DL25">
        <f>IF(DK25&gt;=VLOOKUP(Wycena!$C$14,Mapping!$DG$3:$DH$5,2,0),DK25,"")</f>
        <v>27</v>
      </c>
      <c r="DM25" cm="1">
        <f t="array" ref="DM25">IF(ROWS($DL$3:DL25)&gt;(ROWS($DL$3:$DL$28)-COUNTBLANK($DL$3:$DL$28)),"",INDEX($DL$3:$DL$28,SMALL(IF($DL$3:$DL$28&lt;&gt;"",ROW($DL$3:$DL$28)-2),ROWS($DL$3:DL25))))</f>
        <v>28</v>
      </c>
      <c r="DN25">
        <f>IF(DK25&gt;=VLOOKUP(Wycena!$C$14,Mapping!$DG$3:$DI$5,3,0),DK25,"")</f>
        <v>27</v>
      </c>
      <c r="DO25" cm="1">
        <f t="array" ref="DO25">IF(ROWS($DN$3:DN25)&gt;(ROWS($DN$3:$DN$28)-COUNTBLANK($DN$3:$DN$28)),"",INDEX($DN$3:$DN$28,SMALL(IF($DN$3:$DN$28&lt;&gt;"",ROW($DN$3:$DN$28)-2),ROWS($DN$3:DN25))))</f>
        <v>28</v>
      </c>
      <c r="DS25">
        <v>27</v>
      </c>
      <c r="DT25">
        <f>IF(DS25&gt;=VLOOKUP(Wycena!$C$25,Mapping!$DQ$3:$DR$4,2,0),DS25,"")</f>
        <v>27</v>
      </c>
      <c r="DU25" t="str" cm="1">
        <f t="array" ref="DU25">IF(ROWS($DT$3:DT25)&gt;(ROWS($DT$3:$DT$28)-COUNTBLANK($DT$3:$DT$28)),"",INDEX($DT$3:$DT$28,SMALL(IF($DT$3:$DT$28&lt;&gt;"",ROW($DT$3:$DT$28)-2),ROWS($DT$3:DT25))))</f>
        <v/>
      </c>
      <c r="DW25">
        <v>22</v>
      </c>
      <c r="FW25" t="s">
        <v>428</v>
      </c>
      <c r="FX25" t="s">
        <v>551</v>
      </c>
      <c r="GJ25" t="str">
        <f>IF((HLOOKUP(VLOOKUP(Wycena!$C$59,Mapping!$GI$35:$GJ$43,2,0),$GD$1:$GI$33,2+GK25))=0,"",(HLOOKUP(VLOOKUP(Wycena!$C$59,Mapping!$GI$35:$GJ$43,2,0),$GD$1:$GI$33,2+GK25)))</f>
        <v/>
      </c>
      <c r="GK25">
        <v>23</v>
      </c>
      <c r="GL25" t="e">
        <f t="array" ref="GL25">IF(ROWS($GJ$3:GJ25)&gt;(ROWS($GJ$3:$GJ$33)-COUNTBLANK($GJ$3:$GJ$33)),"",INDEX($GJ$3:$GJ$33,SMALL(IF($GJ$3:$GJ$33&lt;&gt;"",ROW($GJ$3:$GJ$33)-2),ROWS($GJ$3:GJ25))))</f>
        <v>#N/A</v>
      </c>
      <c r="GM25" t="s">
        <v>439</v>
      </c>
      <c r="GN25" t="s">
        <v>468</v>
      </c>
      <c r="GW25" t="s">
        <v>805</v>
      </c>
      <c r="GX25" t="s">
        <v>15</v>
      </c>
      <c r="HB25" t="s">
        <v>47</v>
      </c>
      <c r="HC25" t="s">
        <v>357</v>
      </c>
    </row>
    <row r="26" spans="1:259" x14ac:dyDescent="0.35">
      <c r="A26" t="s">
        <v>103</v>
      </c>
      <c r="B26">
        <v>20</v>
      </c>
      <c r="C26">
        <v>20</v>
      </c>
      <c r="D26">
        <v>20</v>
      </c>
      <c r="E26">
        <v>20</v>
      </c>
      <c r="F26">
        <v>34</v>
      </c>
      <c r="G26">
        <v>34</v>
      </c>
      <c r="H26">
        <f t="shared" si="10"/>
        <v>36</v>
      </c>
      <c r="I26">
        <f t="shared" si="11"/>
        <v>36</v>
      </c>
      <c r="Y26" t="s">
        <v>568</v>
      </c>
      <c r="Z26">
        <v>500</v>
      </c>
      <c r="AA26" t="str">
        <f t="shared" si="4"/>
        <v>RAL 1004</v>
      </c>
      <c r="AB26" t="str">
        <f>IF((VLOOKUP(Wycena!$C$7,Mapping!$Q$15:$R$20,2,0))="tak","",AA26)</f>
        <v>RAL 1004</v>
      </c>
      <c r="AC26" t="e" cm="1">
        <f t="array" ref="AC26">IF(ROWS($AB$3:AB26)&gt;(ROWS($AB$3:$AB$229)-COUNTBLANK($AB$3:$AB$229)),"",INDEX($AB$3:$AB$229,SMALL(IF($AB$3:$AB$229&lt;&gt;"",ROW($AB$3:$AB$229)-2),ROWS($AB$3:AB26))))</f>
        <v>#N/A</v>
      </c>
      <c r="AX26">
        <v>95</v>
      </c>
      <c r="AY26">
        <v>0</v>
      </c>
      <c r="AZ26">
        <v>0</v>
      </c>
      <c r="BA26">
        <f>IF(Wycena!$C$16=78,Mapping!AY26,AZ26)</f>
        <v>0</v>
      </c>
      <c r="BD26">
        <v>203</v>
      </c>
      <c r="BE26">
        <v>0</v>
      </c>
      <c r="BF26">
        <v>0</v>
      </c>
      <c r="BG26">
        <f>IF(Wycena!$C$16=78,Mapping!BE26,BF26)</f>
        <v>0</v>
      </c>
      <c r="DA26">
        <v>28</v>
      </c>
      <c r="DB26">
        <f>IF(DA26&gt;=VLOOKUP(Wycena!$C$14,Mapping!$CY$3:$CZ$5,2,0),DA26,"")</f>
        <v>28</v>
      </c>
      <c r="DC26" cm="1">
        <f t="array" ref="DC26">IF(ROWS($DB$3:DB26)&gt;(ROWS($DB$3:$DB$28)-COUNTBLANK($DB$3:$DB$28)),"",INDEX($DB$3:$DB$28,SMALL(IF($DB$3:$DB$28&lt;&gt;"",ROW($DB$3:$DB$28)-2),ROWS($DB$3:DB26))))</f>
        <v>29</v>
      </c>
      <c r="DK26">
        <v>28</v>
      </c>
      <c r="DL26">
        <f>IF(DK26&gt;=VLOOKUP(Wycena!$C$14,Mapping!$DG$3:$DH$5,2,0),DK26,"")</f>
        <v>28</v>
      </c>
      <c r="DM26" cm="1">
        <f t="array" ref="DM26">IF(ROWS($DL$3:DL26)&gt;(ROWS($DL$3:$DL$28)-COUNTBLANK($DL$3:$DL$28)),"",INDEX($DL$3:$DL$28,SMALL(IF($DL$3:$DL$28&lt;&gt;"",ROW($DL$3:$DL$28)-2),ROWS($DL$3:DL26))))</f>
        <v>29</v>
      </c>
      <c r="DN26">
        <f>IF(DK26&gt;=VLOOKUP(Wycena!$C$14,Mapping!$DG$3:$DI$5,3,0),DK26,"")</f>
        <v>28</v>
      </c>
      <c r="DO26" cm="1">
        <f t="array" ref="DO26">IF(ROWS($DN$3:DN26)&gt;(ROWS($DN$3:$DN$28)-COUNTBLANK($DN$3:$DN$28)),"",INDEX($DN$3:$DN$28,SMALL(IF($DN$3:$DN$28&lt;&gt;"",ROW($DN$3:$DN$28)-2),ROWS($DN$3:DN26))))</f>
        <v>29</v>
      </c>
      <c r="DS26">
        <v>28</v>
      </c>
      <c r="DT26">
        <f>IF(DS26&gt;=VLOOKUP(Wycena!$C$25,Mapping!$DQ$3:$DR$4,2,0),DS26,"")</f>
        <v>28</v>
      </c>
      <c r="DU26" t="str" cm="1">
        <f t="array" ref="DU26">IF(ROWS($DT$3:DT26)&gt;(ROWS($DT$3:$DT$28)-COUNTBLANK($DT$3:$DT$28)),"",INDEX($DT$3:$DT$28,SMALL(IF($DT$3:$DT$28&lt;&gt;"",ROW($DT$3:$DT$28)-2),ROWS($DT$3:DT26))))</f>
        <v/>
      </c>
      <c r="DW26">
        <v>23</v>
      </c>
      <c r="FQ26" t="str">
        <f t="array" ref="FQ26">$FQ$3:INDEX($FQ$3:$FQ$23,(ROWS($FP$3:$FP$23)-COUNTBLANK($FP$3:$FP$23)))</f>
        <v>-</v>
      </c>
      <c r="FS26" t="str">
        <f t="array" ref="FS26">$FS$3:INDEX($FS$3:$FS$23,(ROWS($FR$3:$FR$23)-COUNTBLANK($FR$3:$FR$23)))</f>
        <v>-</v>
      </c>
      <c r="FU26" t="str">
        <f t="array" ref="FU26">$FU$3:INDEX($FU$3:$FU$23,(ROWS($FT$3:$FT$23)-COUNTBLANK($FT$3:$FT$23)))</f>
        <v>-</v>
      </c>
      <c r="FW26" t="s">
        <v>427</v>
      </c>
      <c r="FX26" t="s">
        <v>561</v>
      </c>
      <c r="FY26" t="s">
        <v>425</v>
      </c>
      <c r="FZ26">
        <v>1</v>
      </c>
      <c r="GA26" t="s">
        <v>448</v>
      </c>
      <c r="GB26">
        <v>900</v>
      </c>
      <c r="GC26" t="e">
        <f>IF(VLOOKUP(Wycena!$C$5,SKU!$B$1:$D$743,3,0)="Płytowe",GA26,"")</f>
        <v>#N/A</v>
      </c>
      <c r="GD26" t="e">
        <f t="shared" si="6"/>
        <v>#N/A</v>
      </c>
      <c r="GE26" t="e">
        <f t="shared" si="8"/>
        <v>#N/A</v>
      </c>
      <c r="GF26" t="e">
        <f t="shared" si="7"/>
        <v>#N/A</v>
      </c>
      <c r="GI26" t="e">
        <f t="shared" si="9"/>
        <v>#N/A</v>
      </c>
      <c r="GJ26" t="e">
        <f>IF((HLOOKUP(VLOOKUP(Wycena!$C$59,Mapping!$GI$35:$GJ$43,2,0),$GD$1:$GI$33,2+GK26))=0,"",(HLOOKUP(VLOOKUP(Wycena!$C$59,Mapping!$GI$35:$GJ$43,2,0),$GD$1:$GI$33,2+GK26)))</f>
        <v>#N/A</v>
      </c>
      <c r="GK26">
        <v>24</v>
      </c>
      <c r="GL26" t="e">
        <f t="array" ref="GL26">IF(ROWS($GJ$3:GJ26)&gt;(ROWS($GJ$3:$GJ$33)-COUNTBLANK($GJ$3:$GJ$33)),"",INDEX($GJ$3:$GJ$33,SMALL(IF($GJ$3:$GJ$33&lt;&gt;"",ROW($GJ$3:$GJ$33)-2),ROWS($GJ$3:GJ26))))</f>
        <v>#N/A</v>
      </c>
      <c r="GM26" t="s">
        <v>445</v>
      </c>
      <c r="GN26" t="s">
        <v>466</v>
      </c>
      <c r="HB26" t="s">
        <v>428</v>
      </c>
      <c r="HC26" s="9" t="s">
        <v>15</v>
      </c>
    </row>
    <row r="27" spans="1:259" x14ac:dyDescent="0.35">
      <c r="A27" t="s">
        <v>104</v>
      </c>
      <c r="B27">
        <v>20</v>
      </c>
      <c r="C27">
        <v>20</v>
      </c>
      <c r="D27">
        <v>20</v>
      </c>
      <c r="E27">
        <v>20</v>
      </c>
      <c r="F27">
        <v>34</v>
      </c>
      <c r="G27">
        <v>34</v>
      </c>
      <c r="H27">
        <f t="shared" si="10"/>
        <v>36</v>
      </c>
      <c r="I27">
        <f t="shared" si="11"/>
        <v>36</v>
      </c>
      <c r="Y27" t="s">
        <v>569</v>
      </c>
      <c r="Z27">
        <v>500</v>
      </c>
      <c r="AA27" t="str">
        <f t="shared" si="4"/>
        <v>RAL 1005</v>
      </c>
      <c r="AB27" t="str">
        <f>IF((VLOOKUP(Wycena!$C$7,Mapping!$Q$15:$R$20,2,0))="tak","",AA27)</f>
        <v>RAL 1005</v>
      </c>
      <c r="AC27" t="e" cm="1">
        <f t="array" ref="AC27">IF(ROWS($AB$3:AB27)&gt;(ROWS($AB$3:$AB$229)-COUNTBLANK($AB$3:$AB$229)),"",INDEX($AB$3:$AB$229,SMALL(IF($AB$3:$AB$229&lt;&gt;"",ROW($AB$3:$AB$229)-2),ROWS($AB$3:AB27))))</f>
        <v>#N/A</v>
      </c>
      <c r="AX27">
        <v>96</v>
      </c>
      <c r="AY27">
        <v>0</v>
      </c>
      <c r="AZ27">
        <v>0</v>
      </c>
      <c r="BA27">
        <f>IF(Wycena!$C$16=78,Mapping!AY27,AZ27)</f>
        <v>0</v>
      </c>
      <c r="BD27">
        <v>204</v>
      </c>
      <c r="BE27">
        <v>0</v>
      </c>
      <c r="BF27">
        <v>0</v>
      </c>
      <c r="BG27">
        <f>IF(Wycena!$C$16=78,Mapping!BE27,BF27)</f>
        <v>0</v>
      </c>
      <c r="CO27">
        <f>VLOOKUP(Wycena!C26,$CO$28:$CS$37,IF(AND(Wycena!C20="-",Wycena!C21="-"),2,IF(AND(Wycena!C20&lt;&gt;"-",Wycena!C21="-"),3,IF(AND(Wycena!C20="-",Wycena!C21&lt;&gt;"-"),4,5))),0)</f>
        <v>0</v>
      </c>
      <c r="DA27">
        <v>29</v>
      </c>
      <c r="DB27">
        <f>IF(DA27&gt;=VLOOKUP(Wycena!$C$14,Mapping!$CY$3:$CZ$5,2,0),DA27,"")</f>
        <v>29</v>
      </c>
      <c r="DC27" cm="1">
        <f t="array" ref="DC27">IF(ROWS($DB$3:DB27)&gt;(ROWS($DB$3:$DB$28)-COUNTBLANK($DB$3:$DB$28)),"",INDEX($DB$3:$DB$28,SMALL(IF($DB$3:$DB$28&lt;&gt;"",ROW($DB$3:$DB$28)-2),ROWS($DB$3:DB27))))</f>
        <v>30</v>
      </c>
      <c r="DK27">
        <v>29</v>
      </c>
      <c r="DL27">
        <f>IF(DK27&gt;=VLOOKUP(Wycena!$C$14,Mapping!$DG$3:$DH$5,2,0),DK27,"")</f>
        <v>29</v>
      </c>
      <c r="DM27" cm="1">
        <f t="array" ref="DM27">IF(ROWS($DL$3:DL27)&gt;(ROWS($DL$3:$DL$28)-COUNTBLANK($DL$3:$DL$28)),"",INDEX($DL$3:$DL$28,SMALL(IF($DL$3:$DL$28&lt;&gt;"",ROW($DL$3:$DL$28)-2),ROWS($DL$3:DL27))))</f>
        <v>30</v>
      </c>
      <c r="DN27">
        <f>IF(DK27&gt;=VLOOKUP(Wycena!$C$14,Mapping!$DG$3:$DI$5,3,0),DK27,"")</f>
        <v>29</v>
      </c>
      <c r="DO27" cm="1">
        <f t="array" ref="DO27">IF(ROWS($DN$3:DN27)&gt;(ROWS($DN$3:$DN$28)-COUNTBLANK($DN$3:$DN$28)),"",INDEX($DN$3:$DN$28,SMALL(IF($DN$3:$DN$28&lt;&gt;"",ROW($DN$3:$DN$28)-2),ROWS($DN$3:DN27))))</f>
        <v>30</v>
      </c>
      <c r="DS27">
        <v>29</v>
      </c>
      <c r="DT27">
        <f>IF(DS27&gt;=VLOOKUP(Wycena!$C$25,Mapping!$DQ$3:$DR$4,2,0),DS27,"")</f>
        <v>29</v>
      </c>
      <c r="DU27" t="str" cm="1">
        <f t="array" ref="DU27">IF(ROWS($DT$3:DT27)&gt;(ROWS($DT$3:$DT$28)-COUNTBLANK($DT$3:$DT$28)),"",INDEX($DT$3:$DT$28,SMALL(IF($DT$3:$DT$28&lt;&gt;"",ROW($DT$3:$DT$28)-2),ROWS($DT$3:DT27))))</f>
        <v/>
      </c>
      <c r="DW27">
        <v>24</v>
      </c>
      <c r="FW27" t="s">
        <v>427</v>
      </c>
      <c r="FX27" t="s">
        <v>562</v>
      </c>
      <c r="FY27" t="s">
        <v>803</v>
      </c>
      <c r="FZ27">
        <v>1</v>
      </c>
      <c r="GA27" t="s">
        <v>449</v>
      </c>
      <c r="GB27">
        <v>1000</v>
      </c>
      <c r="GC27" t="e">
        <f>IF(VLOOKUP(Wycena!$C$5,SKU!$B$1:$D$743,3,0)="Płycinowe",GA27,"")</f>
        <v>#N/A</v>
      </c>
      <c r="GD27" t="e">
        <f t="shared" si="6"/>
        <v>#N/A</v>
      </c>
      <c r="GE27" t="e">
        <f t="shared" si="8"/>
        <v>#N/A</v>
      </c>
      <c r="GF27" t="e">
        <f t="shared" si="7"/>
        <v>#N/A</v>
      </c>
      <c r="GI27" t="e">
        <f t="shared" si="9"/>
        <v>#N/A</v>
      </c>
      <c r="GJ27" t="e">
        <f>IF((HLOOKUP(VLOOKUP(Wycena!$C$59,Mapping!$GI$35:$GJ$43,2,0),$GD$1:$GI$33,2+GK27))=0,"",(HLOOKUP(VLOOKUP(Wycena!$C$59,Mapping!$GI$35:$GJ$43,2,0),$GD$1:$GI$33,2+GK27)))</f>
        <v>#N/A</v>
      </c>
      <c r="GK27">
        <v>25</v>
      </c>
      <c r="GL27" t="e">
        <f t="array" ref="GL27">IF(ROWS($GJ$3:GJ27)&gt;(ROWS($GJ$3:$GJ$33)-COUNTBLANK($GJ$3:$GJ$33)),"",INDEX($GJ$3:$GJ$33,SMALL(IF($GJ$3:$GJ$33&lt;&gt;"",ROW($GJ$3:$GJ$33)-2),ROWS($GJ$3:GJ27))))</f>
        <v>#N/A</v>
      </c>
      <c r="GM27" t="s">
        <v>445</v>
      </c>
      <c r="GN27" t="s">
        <v>472</v>
      </c>
      <c r="HB27" t="s">
        <v>428</v>
      </c>
      <c r="HC27" t="s">
        <v>357</v>
      </c>
    </row>
    <row r="28" spans="1:259" x14ac:dyDescent="0.35">
      <c r="A28" t="s">
        <v>105</v>
      </c>
      <c r="B28">
        <v>20</v>
      </c>
      <c r="C28">
        <v>20</v>
      </c>
      <c r="D28">
        <v>20</v>
      </c>
      <c r="E28">
        <v>20</v>
      </c>
      <c r="F28">
        <v>34</v>
      </c>
      <c r="G28">
        <v>34</v>
      </c>
      <c r="H28">
        <f t="shared" si="10"/>
        <v>36</v>
      </c>
      <c r="I28">
        <f t="shared" si="11"/>
        <v>36</v>
      </c>
      <c r="Y28" t="s">
        <v>570</v>
      </c>
      <c r="Z28">
        <v>500</v>
      </c>
      <c r="AA28" t="str">
        <f t="shared" si="4"/>
        <v>RAL 1006</v>
      </c>
      <c r="AB28" t="str">
        <f>IF((VLOOKUP(Wycena!$C$7,Mapping!$Q$15:$R$20,2,0))="tak","",AA28)</f>
        <v>RAL 1006</v>
      </c>
      <c r="AC28" t="e" cm="1">
        <f t="array" ref="AC28">IF(ROWS($AB$3:AB28)&gt;(ROWS($AB$3:$AB$229)-COUNTBLANK($AB$3:$AB$229)),"",INDEX($AB$3:$AB$229,SMALL(IF($AB$3:$AB$229&lt;&gt;"",ROW($AB$3:$AB$229)-2),ROWS($AB$3:AB28))))</f>
        <v>#N/A</v>
      </c>
      <c r="AX28">
        <v>97</v>
      </c>
      <c r="AY28">
        <v>0</v>
      </c>
      <c r="AZ28">
        <v>0</v>
      </c>
      <c r="BA28">
        <f>IF(Wycena!$C$16=78,Mapping!AY28,AZ28)</f>
        <v>0</v>
      </c>
      <c r="BD28">
        <v>205</v>
      </c>
      <c r="BE28">
        <v>0</v>
      </c>
      <c r="BF28">
        <v>0</v>
      </c>
      <c r="BG28">
        <f>IF(Wycena!$C$16=78,Mapping!BE28,BF28)</f>
        <v>0</v>
      </c>
      <c r="CO28" t="s">
        <v>783</v>
      </c>
      <c r="CP28" s="10" t="s">
        <v>786</v>
      </c>
      <c r="CQ28" s="10" t="s">
        <v>787</v>
      </c>
      <c r="CR28" s="10" t="s">
        <v>788</v>
      </c>
      <c r="CS28" s="10" t="s">
        <v>789</v>
      </c>
      <c r="DA28">
        <v>30</v>
      </c>
      <c r="DB28">
        <f>IF(DA28&gt;=VLOOKUP(Wycena!$C$14,Mapping!$CY$3:$CZ$5,2,0),DA28,"")</f>
        <v>30</v>
      </c>
      <c r="DC28" t="str" cm="1">
        <f t="array" ref="DC28">IF(ROWS($DB$3:DB28)&gt;(ROWS($DB$3:$DB$28)-COUNTBLANK($DB$3:$DB$28)),"",INDEX($DB$3:$DB$28,SMALL(IF($DB$3:$DB$28&lt;&gt;"",ROW($DB$3:$DB$28)-2),ROWS($DB$3:DB28))))</f>
        <v/>
      </c>
      <c r="DK28">
        <v>30</v>
      </c>
      <c r="DL28">
        <f>IF(DK28&gt;=VLOOKUP(Wycena!$C$14,Mapping!$DG$3:$DH$5,2,0),DK28,"")</f>
        <v>30</v>
      </c>
      <c r="DM28" t="str" cm="1">
        <f t="array" ref="DM28">IF(ROWS($DL$3:DL28)&gt;(ROWS($DL$3:$DL$28)-COUNTBLANK($DL$3:$DL$28)),"",INDEX($DL$3:$DL$28,SMALL(IF($DL$3:$DL$28&lt;&gt;"",ROW($DL$3:$DL$28)-2),ROWS($DL$3:DL28))))</f>
        <v/>
      </c>
      <c r="DN28">
        <f>IF(DK28&gt;=VLOOKUP(Wycena!$C$14,Mapping!$DG$3:$DI$5,3,0),DK28,"")</f>
        <v>30</v>
      </c>
      <c r="DO28" t="str" cm="1">
        <f t="array" ref="DO28">IF(ROWS($DN$3:DN28)&gt;(ROWS($DN$3:$DN$28)-COUNTBLANK($DN$3:$DN$28)),"",INDEX($DN$3:$DN$28,SMALL(IF($DN$3:$DN$28&lt;&gt;"",ROW($DN$3:$DN$28)-2),ROWS($DN$3:DN28))))</f>
        <v/>
      </c>
      <c r="DS28">
        <v>30</v>
      </c>
      <c r="DT28">
        <f>IF(DS28&gt;=VLOOKUP(Wycena!$C$25,Mapping!$DQ$3:$DR$4,2,0),DS28,"")</f>
        <v>30</v>
      </c>
      <c r="DU28" t="str" cm="1">
        <f t="array" ref="DU28">IF(ROWS($DT$3:DT28)&gt;(ROWS($DT$3:$DT$28)-COUNTBLANK($DT$3:$DT$28)),"",INDEX($DT$3:$DT$28,SMALL(IF($DT$3:$DT$28&lt;&gt;"",ROW($DT$3:$DT$28)-2),ROWS($DT$3:DT28))))</f>
        <v/>
      </c>
      <c r="DW28">
        <v>25</v>
      </c>
      <c r="FW28" t="s">
        <v>427</v>
      </c>
      <c r="FX28" t="s">
        <v>552</v>
      </c>
      <c r="FY28" t="s">
        <v>804</v>
      </c>
      <c r="FZ28">
        <v>1</v>
      </c>
      <c r="GA28" t="s">
        <v>802</v>
      </c>
      <c r="GB28">
        <v>1700</v>
      </c>
      <c r="GC28" t="e">
        <f>IF(VLOOKUP(Wycena!$C$5,SKU!$B$1:$D$743,3,0)="Płytowe",GA28,"")</f>
        <v>#N/A</v>
      </c>
      <c r="GD28" t="e">
        <f t="shared" si="6"/>
        <v>#N/A</v>
      </c>
      <c r="GE28" t="e">
        <f>GD28</f>
        <v>#N/A</v>
      </c>
      <c r="GF28" t="e">
        <f>GE28</f>
        <v>#N/A</v>
      </c>
      <c r="GI28" t="e">
        <f t="shared" si="9"/>
        <v>#N/A</v>
      </c>
      <c r="GJ28" t="e">
        <f>IF((HLOOKUP(VLOOKUP(Wycena!$C$59,Mapping!$GI$35:$GJ$43,2,0),$GD$1:$GI$33,2+GK28))=0,"",(HLOOKUP(VLOOKUP(Wycena!$C$59,Mapping!$GI$35:$GJ$43,2,0),$GD$1:$GI$33,2+GK28)))</f>
        <v>#N/A</v>
      </c>
      <c r="GK28">
        <v>26</v>
      </c>
      <c r="GL28" t="str">
        <f t="array" ref="GL28">IF(ROWS($GJ$3:GJ28)&gt;(ROWS($GJ$3:$GJ$33)-COUNTBLANK($GJ$3:$GJ$33)),"",INDEX($GJ$3:$GJ$33,SMALL(IF($GJ$3:$GJ$33&lt;&gt;"",ROW($GJ$3:$GJ$33)-2),ROWS($GJ$3:GJ28))))</f>
        <v/>
      </c>
      <c r="GM28" t="s">
        <v>445</v>
      </c>
      <c r="GN28" t="s">
        <v>468</v>
      </c>
      <c r="HB28" t="s">
        <v>427</v>
      </c>
      <c r="HC28" s="9" t="s">
        <v>15</v>
      </c>
    </row>
    <row r="29" spans="1:259" x14ac:dyDescent="0.35">
      <c r="A29" t="s">
        <v>106</v>
      </c>
      <c r="B29">
        <v>20</v>
      </c>
      <c r="C29">
        <v>20</v>
      </c>
      <c r="D29">
        <v>20</v>
      </c>
      <c r="E29">
        <v>20</v>
      </c>
      <c r="F29">
        <v>34</v>
      </c>
      <c r="G29">
        <v>34</v>
      </c>
      <c r="H29">
        <f t="shared" si="10"/>
        <v>36</v>
      </c>
      <c r="I29">
        <f t="shared" si="11"/>
        <v>36</v>
      </c>
      <c r="Y29" t="s">
        <v>571</v>
      </c>
      <c r="Z29">
        <v>500</v>
      </c>
      <c r="AA29" t="str">
        <f t="shared" si="4"/>
        <v>RAL 1007</v>
      </c>
      <c r="AB29" t="str">
        <f>IF((VLOOKUP(Wycena!$C$7,Mapping!$Q$15:$R$20,2,0))="tak","",AA29)</f>
        <v>RAL 1007</v>
      </c>
      <c r="AC29" t="e" cm="1">
        <f t="array" ref="AC29">IF(ROWS($AB$3:AB29)&gt;(ROWS($AB$3:$AB$229)-COUNTBLANK($AB$3:$AB$229)),"",INDEX($AB$3:$AB$229,SMALL(IF($AB$3:$AB$229&lt;&gt;"",ROW($AB$3:$AB$229)-2),ROWS($AB$3:AB29))))</f>
        <v>#N/A</v>
      </c>
      <c r="AX29">
        <v>98</v>
      </c>
      <c r="AY29">
        <v>0</v>
      </c>
      <c r="AZ29">
        <v>0</v>
      </c>
      <c r="BA29">
        <f>IF(Wycena!$C$16=78,Mapping!AY29,AZ29)</f>
        <v>0</v>
      </c>
      <c r="BD29">
        <v>206</v>
      </c>
      <c r="BE29">
        <v>0</v>
      </c>
      <c r="BF29">
        <v>0</v>
      </c>
      <c r="BG29">
        <f>IF(Wycena!$C$16=78,Mapping!BE29,BF29)</f>
        <v>0</v>
      </c>
      <c r="CO29" s="9" t="s">
        <v>15</v>
      </c>
      <c r="CP29">
        <v>0</v>
      </c>
      <c r="CQ29">
        <v>0</v>
      </c>
      <c r="CR29">
        <v>0</v>
      </c>
      <c r="CS29">
        <v>0</v>
      </c>
      <c r="DA29" t="s">
        <v>263</v>
      </c>
      <c r="DB29" t="s">
        <v>263</v>
      </c>
      <c r="DC29" t="s">
        <v>263</v>
      </c>
      <c r="DK29" t="s">
        <v>263</v>
      </c>
      <c r="DL29" t="s">
        <v>263</v>
      </c>
      <c r="DM29" t="s">
        <v>263</v>
      </c>
      <c r="DN29" t="s">
        <v>263</v>
      </c>
      <c r="DO29" t="s">
        <v>263</v>
      </c>
      <c r="DS29" t="s">
        <v>263</v>
      </c>
      <c r="DT29" t="s">
        <v>263</v>
      </c>
      <c r="DU29" t="s">
        <v>263</v>
      </c>
      <c r="DW29">
        <v>26</v>
      </c>
      <c r="FW29" t="s">
        <v>429</v>
      </c>
      <c r="FX29" t="s">
        <v>799</v>
      </c>
      <c r="FY29" t="s">
        <v>805</v>
      </c>
      <c r="FZ29">
        <v>1</v>
      </c>
      <c r="GC29" t="e">
        <f>IF(VLOOKUP(Wycena!$C$5,SKU!$B$1:$D$743,3,0)="Płytowe",GA29,"")</f>
        <v>#N/A</v>
      </c>
      <c r="GD29" t="e">
        <f t="shared" si="6"/>
        <v>#N/A</v>
      </c>
      <c r="GI29" t="e">
        <f t="shared" si="9"/>
        <v>#N/A</v>
      </c>
      <c r="GJ29" t="e">
        <f>IF((HLOOKUP(VLOOKUP(Wycena!$C$59,Mapping!$GI$35:$GJ$43,2,0),$GD$1:$GI$33,2+GK29))=0,"",(HLOOKUP(VLOOKUP(Wycena!$C$59,Mapping!$GI$35:$GJ$43,2,0),$GD$1:$GI$33,2+GK29)))</f>
        <v>#N/A</v>
      </c>
      <c r="GK29">
        <v>27</v>
      </c>
      <c r="GL29" t="str">
        <f t="array" ref="GL29">IF(ROWS($GJ$3:GJ29)&gt;(ROWS($GJ$3:$GJ$33)-COUNTBLANK($GJ$3:$GJ$33)),"",INDEX($GJ$3:$GJ$33,SMALL(IF($GJ$3:$GJ$33&lt;&gt;"",ROW($GJ$3:$GJ$33)-2),ROWS($GJ$3:GJ29))))</f>
        <v/>
      </c>
      <c r="GM29" t="s">
        <v>437</v>
      </c>
      <c r="GN29" t="s">
        <v>466</v>
      </c>
      <c r="HB29" t="s">
        <v>427</v>
      </c>
      <c r="HC29" t="s">
        <v>357</v>
      </c>
    </row>
    <row r="30" spans="1:259" x14ac:dyDescent="0.35">
      <c r="A30" t="s">
        <v>108</v>
      </c>
      <c r="B30">
        <v>20</v>
      </c>
      <c r="C30">
        <v>20</v>
      </c>
      <c r="D30">
        <v>20</v>
      </c>
      <c r="E30">
        <v>20</v>
      </c>
      <c r="F30">
        <v>34</v>
      </c>
      <c r="G30">
        <v>34</v>
      </c>
      <c r="H30">
        <f t="shared" si="10"/>
        <v>36</v>
      </c>
      <c r="I30">
        <f t="shared" si="11"/>
        <v>36</v>
      </c>
      <c r="Y30" t="s">
        <v>572</v>
      </c>
      <c r="Z30">
        <v>500</v>
      </c>
      <c r="AA30" t="str">
        <f t="shared" si="4"/>
        <v>RAL 1011</v>
      </c>
      <c r="AB30" t="str">
        <f>IF((VLOOKUP(Wycena!$C$7,Mapping!$Q$15:$R$20,2,0))="tak","",AA30)</f>
        <v>RAL 1011</v>
      </c>
      <c r="AC30" t="e" cm="1">
        <f t="array" ref="AC30">IF(ROWS($AB$3:AB30)&gt;(ROWS($AB$3:$AB$229)-COUNTBLANK($AB$3:$AB$229)),"",INDEX($AB$3:$AB$229,SMALL(IF($AB$3:$AB$229&lt;&gt;"",ROW($AB$3:$AB$229)-2),ROWS($AB$3:AB30))))</f>
        <v>#N/A</v>
      </c>
      <c r="AX30">
        <v>99</v>
      </c>
      <c r="AY30">
        <v>0</v>
      </c>
      <c r="AZ30">
        <v>0</v>
      </c>
      <c r="BA30">
        <f>IF(Wycena!$C$16=78,Mapping!AY30,AZ30)</f>
        <v>0</v>
      </c>
      <c r="BD30">
        <v>207</v>
      </c>
      <c r="BE30">
        <v>0</v>
      </c>
      <c r="BF30">
        <v>0</v>
      </c>
      <c r="BG30">
        <f>IF(Wycena!$C$16=78,Mapping!BE30,BF30)</f>
        <v>0</v>
      </c>
      <c r="CO30" t="s">
        <v>326</v>
      </c>
      <c r="CP30">
        <f>IF(Wycena!$C$14="Przylgowe",8,IF(Wycena!$C$14="Bezprzylgowe",6,0))</f>
        <v>8</v>
      </c>
      <c r="CQ30">
        <f>IF(Wycena!$C$14="Przylgowe",8,IF(Wycena!$C$14="Bezprzylgowe",6,0))</f>
        <v>8</v>
      </c>
      <c r="CR30">
        <v>0</v>
      </c>
      <c r="CS30">
        <v>0</v>
      </c>
      <c r="DW30">
        <v>27</v>
      </c>
      <c r="FW30" t="s">
        <v>429</v>
      </c>
      <c r="FX30" t="s">
        <v>800</v>
      </c>
      <c r="FY30" t="s">
        <v>427</v>
      </c>
      <c r="GC30" t="e">
        <f>IF(VLOOKUP(Wycena!$C$5,SKU!$B$1:$D$743,3,0)="Płytowe",GA30,"")</f>
        <v>#N/A</v>
      </c>
      <c r="GD30" t="e">
        <f t="shared" si="6"/>
        <v>#N/A</v>
      </c>
      <c r="GE30" t="e">
        <f>GC30</f>
        <v>#N/A</v>
      </c>
      <c r="GF30" t="e">
        <f>GC30</f>
        <v>#N/A</v>
      </c>
      <c r="GI30" t="e">
        <f t="shared" si="9"/>
        <v>#N/A</v>
      </c>
      <c r="GJ30" t="e">
        <f>IF((HLOOKUP(VLOOKUP(Wycena!$C$59,Mapping!$GI$35:$GJ$43,2,0),$GD$1:$GI$33,2+GK30))=0,"",(HLOOKUP(VLOOKUP(Wycena!$C$59,Mapping!$GI$35:$GJ$43,2,0),$GD$1:$GI$33,2+GK30)))</f>
        <v>#N/A</v>
      </c>
      <c r="GK30">
        <v>28</v>
      </c>
      <c r="GL30" t="str">
        <f t="array" ref="GL30">IF(ROWS($GJ$3:GJ30)&gt;(ROWS($GJ$3:$GJ$33)-COUNTBLANK($GJ$3:$GJ$33)),"",INDEX($GJ$3:$GJ$33,SMALL(IF($GJ$3:$GJ$33&lt;&gt;"",ROW($GJ$3:$GJ$33)-2),ROWS($GJ$3:GJ30))))</f>
        <v/>
      </c>
      <c r="GM30" t="s">
        <v>437</v>
      </c>
      <c r="GN30" t="s">
        <v>472</v>
      </c>
      <c r="HB30" t="s">
        <v>429</v>
      </c>
      <c r="HC30" s="9" t="s">
        <v>15</v>
      </c>
    </row>
    <row r="31" spans="1:259" x14ac:dyDescent="0.35">
      <c r="A31" t="s">
        <v>109</v>
      </c>
      <c r="B31">
        <v>20</v>
      </c>
      <c r="C31">
        <v>20</v>
      </c>
      <c r="D31">
        <v>20</v>
      </c>
      <c r="E31">
        <v>20</v>
      </c>
      <c r="F31">
        <v>34</v>
      </c>
      <c r="G31">
        <v>34</v>
      </c>
      <c r="H31">
        <f t="shared" si="10"/>
        <v>36</v>
      </c>
      <c r="I31">
        <f t="shared" si="11"/>
        <v>36</v>
      </c>
      <c r="Y31" t="s">
        <v>573</v>
      </c>
      <c r="Z31">
        <v>500</v>
      </c>
      <c r="AA31" t="str">
        <f t="shared" si="4"/>
        <v>RAL 1012</v>
      </c>
      <c r="AB31" t="str">
        <f>IF((VLOOKUP(Wycena!$C$7,Mapping!$Q$15:$R$20,2,0))="tak","",AA31)</f>
        <v>RAL 1012</v>
      </c>
      <c r="AC31" t="e" cm="1">
        <f t="array" ref="AC31">IF(ROWS($AB$3:AB31)&gt;(ROWS($AB$3:$AB$229)-COUNTBLANK($AB$3:$AB$229)),"",INDEX($AB$3:$AB$229,SMALL(IF($AB$3:$AB$229&lt;&gt;"",ROW($AB$3:$AB$229)-2),ROWS($AB$3:AB31))))</f>
        <v>#N/A</v>
      </c>
      <c r="AX31">
        <v>100</v>
      </c>
      <c r="AY31">
        <v>0</v>
      </c>
      <c r="AZ31">
        <v>0</v>
      </c>
      <c r="BA31">
        <f>IF(Wycena!$C$16=78,Mapping!AY31,AZ31)</f>
        <v>0</v>
      </c>
      <c r="BD31">
        <v>208</v>
      </c>
      <c r="BE31">
        <v>0</v>
      </c>
      <c r="BF31">
        <v>0</v>
      </c>
      <c r="BG31">
        <f>IF(Wycena!$C$16=78,Mapping!BE31,BF31)</f>
        <v>0</v>
      </c>
      <c r="CO31" t="s">
        <v>327</v>
      </c>
      <c r="CP31">
        <f>IF(Wycena!$C$14="Przylgowe",8,IF(Wycena!$C$14="Bezprzylgowe",6,0))</f>
        <v>8</v>
      </c>
      <c r="CQ31">
        <f>IF(Wycena!$C$14="Przylgowe",8,IF(Wycena!$C$14="Bezprzylgowe",6,0))</f>
        <v>8</v>
      </c>
      <c r="CR31">
        <v>0</v>
      </c>
      <c r="CS31">
        <v>0</v>
      </c>
      <c r="DC31">
        <f t="array" ref="DC31">$DC$3:INDEX($DC$3:$DC$28,(ROWS($DB$3:$DB$28)-COUNTBLANK($DB$3:$DB$28)))</f>
        <v>6</v>
      </c>
      <c r="DM31">
        <f t="array" ref="DM31">$DM$3:INDEX($DM$3:$DM$28,(ROWS($DL$3:$DL$28)-COUNTBLANK($DL$3:$DL$28)))</f>
        <v>6</v>
      </c>
      <c r="DO31">
        <f t="array" ref="DO31">$DO$3:INDEX($DO$3:$DO$28,(ROWS($DN$3:$DN$28)-COUNTBLANK($DN$3:$DN$28)))</f>
        <v>6</v>
      </c>
      <c r="DU31">
        <f t="array" ref="DU31">$DU$3:INDEX($DU$3:$DU$28,(ROWS($DT$3:$DT$28)-COUNTBLANK($DT$3:$DT$28)))</f>
        <v>10.5</v>
      </c>
      <c r="DW31">
        <v>28</v>
      </c>
      <c r="FW31" t="s">
        <v>426</v>
      </c>
      <c r="FX31" t="s">
        <v>552</v>
      </c>
      <c r="FY31" t="s">
        <v>426</v>
      </c>
      <c r="GC31" t="e">
        <f>IF(VLOOKUP(Wycena!$C$5,SKU!$B$1:$D$743,3,0)="Płycinowe",GA31,"")</f>
        <v>#N/A</v>
      </c>
      <c r="GD31" t="e">
        <f t="shared" si="6"/>
        <v>#N/A</v>
      </c>
      <c r="GE31" t="e">
        <f>GC31</f>
        <v>#N/A</v>
      </c>
      <c r="GF31" t="e">
        <f>GC31</f>
        <v>#N/A</v>
      </c>
      <c r="GI31" t="e">
        <f t="shared" si="9"/>
        <v>#N/A</v>
      </c>
      <c r="GJ31" t="e">
        <f>IF((HLOOKUP(VLOOKUP(Wycena!$C$59,Mapping!$GI$35:$GJ$43,2,0),$GD$1:$GI$33,2+GK31))=0,"",(HLOOKUP(VLOOKUP(Wycena!$C$59,Mapping!$GI$35:$GJ$43,2,0),$GD$1:$GI$33,2+GK31)))</f>
        <v>#N/A</v>
      </c>
      <c r="GK31">
        <v>29</v>
      </c>
      <c r="GL31" t="str">
        <f t="array" ref="GL31">IF(ROWS($GJ$3:GJ31)&gt;(ROWS($GJ$3:$GJ$33)-COUNTBLANK($GJ$3:$GJ$33)),"",INDEX($GJ$3:$GJ$33,SMALL(IF($GJ$3:$GJ$33&lt;&gt;"",ROW($GJ$3:$GJ$33)-2),ROWS($GJ$3:GJ31))))</f>
        <v/>
      </c>
      <c r="GM31" t="s">
        <v>437</v>
      </c>
      <c r="GN31" t="s">
        <v>468</v>
      </c>
      <c r="HB31" t="s">
        <v>426</v>
      </c>
      <c r="HC31" t="s">
        <v>357</v>
      </c>
    </row>
    <row r="32" spans="1:259" x14ac:dyDescent="0.35">
      <c r="A32" t="s">
        <v>110</v>
      </c>
      <c r="B32">
        <v>20</v>
      </c>
      <c r="C32">
        <v>20</v>
      </c>
      <c r="D32">
        <v>20</v>
      </c>
      <c r="E32">
        <v>20</v>
      </c>
      <c r="F32">
        <v>34</v>
      </c>
      <c r="G32">
        <v>34</v>
      </c>
      <c r="H32">
        <f t="shared" si="10"/>
        <v>36</v>
      </c>
      <c r="I32">
        <f t="shared" si="11"/>
        <v>36</v>
      </c>
      <c r="Y32" t="s">
        <v>574</v>
      </c>
      <c r="Z32">
        <v>500</v>
      </c>
      <c r="AA32" t="str">
        <f t="shared" si="4"/>
        <v>RAL 1013</v>
      </c>
      <c r="AB32" t="str">
        <f>IF((VLOOKUP(Wycena!$C$7,Mapping!$Q$15:$R$20,2,0))="tak","",AA32)</f>
        <v>RAL 1013</v>
      </c>
      <c r="AC32" t="e" cm="1">
        <f t="array" ref="AC32">IF(ROWS($AB$3:AB32)&gt;(ROWS($AB$3:$AB$229)-COUNTBLANK($AB$3:$AB$229)),"",INDEX($AB$3:$AB$229,SMALL(IF($AB$3:$AB$229&lt;&gt;"",ROW($AB$3:$AB$229)-2),ROWS($AB$3:AB32))))</f>
        <v>#N/A</v>
      </c>
      <c r="AX32">
        <v>101</v>
      </c>
      <c r="AY32">
        <v>0</v>
      </c>
      <c r="AZ32">
        <v>0</v>
      </c>
      <c r="BA32">
        <f>IF(Wycena!$C$16=78,Mapping!AY32,AZ32)</f>
        <v>0</v>
      </c>
      <c r="BD32">
        <v>209</v>
      </c>
      <c r="BE32">
        <v>0</v>
      </c>
      <c r="BF32">
        <v>0</v>
      </c>
      <c r="BG32">
        <f>IF(Wycena!$C$16=78,Mapping!BE32,BF32)</f>
        <v>0</v>
      </c>
      <c r="CO32" t="s">
        <v>328</v>
      </c>
      <c r="CQ32">
        <f>IF(Wycena!$C$14="Przylgowe",8,IF(Wycena!$C$14="Bezprzylgowe",6,0))</f>
        <v>8</v>
      </c>
      <c r="CR32">
        <f>IF(Wycena!$C$14="Przylgowe",8,IF(Wycena!$C$14="Bezprzylgowe",6,0))</f>
        <v>8</v>
      </c>
      <c r="CS32">
        <f>IF(Wycena!$C$14="Przylgowe",8,IF(Wycena!$C$14="Bezprzylgowe",6,0))</f>
        <v>8</v>
      </c>
      <c r="DW32">
        <v>29</v>
      </c>
      <c r="FW32" t="s">
        <v>425</v>
      </c>
      <c r="FX32" t="s">
        <v>807</v>
      </c>
      <c r="GC32" t="e">
        <f>IF(VLOOKUP(Wycena!$C$5,SKU!$B$1:$D$743,3,0)="Płytowe",GA32,"")</f>
        <v>#N/A</v>
      </c>
      <c r="GD32" t="e">
        <f t="shared" si="6"/>
        <v>#N/A</v>
      </c>
      <c r="GE32" t="e">
        <f>GC32</f>
        <v>#N/A</v>
      </c>
      <c r="GF32" t="e">
        <f>GC32</f>
        <v>#N/A</v>
      </c>
      <c r="GI32" t="e">
        <f t="shared" si="9"/>
        <v>#N/A</v>
      </c>
      <c r="GJ32" t="e">
        <f>IF((HLOOKUP(VLOOKUP(Wycena!$C$59,Mapping!$GI$35:$GJ$43,2,0),$GD$1:$GI$33,2+GK32))=0,"",(HLOOKUP(VLOOKUP(Wycena!$C$59,Mapping!$GI$35:$GJ$43,2,0),$GD$1:$GI$33,2+GK32)))</f>
        <v>#N/A</v>
      </c>
      <c r="GK32">
        <v>30</v>
      </c>
      <c r="GL32" t="str">
        <f t="array" ref="GL32">IF(ROWS($GJ$3:GJ32)&gt;(ROWS($GJ$3:$GJ$33)-COUNTBLANK($GJ$3:$GJ$33)),"",INDEX($GJ$3:$GJ$33,SMALL(IF($GJ$3:$GJ$33&lt;&gt;"",ROW($GJ$3:$GJ$33)-2),ROWS($GJ$3:GJ32))))</f>
        <v/>
      </c>
      <c r="GM32" t="s">
        <v>810</v>
      </c>
      <c r="GN32" t="s">
        <v>466</v>
      </c>
      <c r="HB32" t="s">
        <v>425</v>
      </c>
      <c r="HC32" s="9" t="s">
        <v>15</v>
      </c>
    </row>
    <row r="33" spans="1:211" x14ac:dyDescent="0.35">
      <c r="A33" t="s">
        <v>112</v>
      </c>
      <c r="B33">
        <v>20</v>
      </c>
      <c r="C33">
        <v>20</v>
      </c>
      <c r="D33">
        <v>20</v>
      </c>
      <c r="E33">
        <v>20</v>
      </c>
      <c r="F33">
        <v>34</v>
      </c>
      <c r="G33">
        <v>34</v>
      </c>
      <c r="H33">
        <f t="shared" si="10"/>
        <v>36</v>
      </c>
      <c r="I33">
        <f t="shared" si="11"/>
        <v>36</v>
      </c>
      <c r="Y33" t="s">
        <v>575</v>
      </c>
      <c r="Z33">
        <v>500</v>
      </c>
      <c r="AA33" t="str">
        <f t="shared" si="4"/>
        <v>RAL 1014</v>
      </c>
      <c r="AB33" t="str">
        <f>IF((VLOOKUP(Wycena!$C$7,Mapping!$Q$15:$R$20,2,0))="tak","",AA33)</f>
        <v>RAL 1014</v>
      </c>
      <c r="AC33" t="e" cm="1">
        <f t="array" ref="AC33">IF(ROWS($AB$3:AB33)&gt;(ROWS($AB$3:$AB$229)-COUNTBLANK($AB$3:$AB$229)),"",INDEX($AB$3:$AB$229,SMALL(IF($AB$3:$AB$229&lt;&gt;"",ROW($AB$3:$AB$229)-2),ROWS($AB$3:AB33))))</f>
        <v>#N/A</v>
      </c>
      <c r="AX33">
        <v>102</v>
      </c>
      <c r="AY33">
        <v>0</v>
      </c>
      <c r="AZ33">
        <v>0</v>
      </c>
      <c r="BA33">
        <f>IF(Wycena!$C$16=78,Mapping!AY33,AZ33)</f>
        <v>0</v>
      </c>
      <c r="BD33">
        <v>210</v>
      </c>
      <c r="BE33">
        <v>0</v>
      </c>
      <c r="BF33">
        <v>0</v>
      </c>
      <c r="BG33">
        <f>IF(Wycena!$C$16=78,Mapping!BE33,BF33)</f>
        <v>0</v>
      </c>
      <c r="CO33" t="s">
        <v>329</v>
      </c>
      <c r="CQ33">
        <f>IF(Wycena!$C$14="Przylgowe",8,IF(Wycena!$C$14="Bezprzylgowe",6,0))</f>
        <v>8</v>
      </c>
      <c r="CR33">
        <f>IF(Wycena!$C$14="Przylgowe",8,IF(Wycena!$C$14="Bezprzylgowe",6,0))</f>
        <v>8</v>
      </c>
      <c r="CS33">
        <f>IF(Wycena!$C$14="Przylgowe",8,IF(Wycena!$C$14="Bezprzylgowe",6,0))</f>
        <v>8</v>
      </c>
      <c r="DW33">
        <v>30</v>
      </c>
      <c r="FW33" t="s">
        <v>425</v>
      </c>
      <c r="FX33" t="s">
        <v>806</v>
      </c>
      <c r="GC33" t="e">
        <f>IF(VLOOKUP(Wycena!$C$5,SKU!$B$1:$D$743,3,0)="Płycinowe",GA33,"")</f>
        <v>#N/A</v>
      </c>
      <c r="GD33" t="e">
        <f t="shared" si="6"/>
        <v>#N/A</v>
      </c>
      <c r="GE33" t="e">
        <f>GC33</f>
        <v>#N/A</v>
      </c>
      <c r="GF33" t="e">
        <f>GC33</f>
        <v>#N/A</v>
      </c>
      <c r="GI33" t="e">
        <f t="shared" si="9"/>
        <v>#N/A</v>
      </c>
      <c r="GK33">
        <v>31</v>
      </c>
      <c r="GL33" t="str">
        <f t="array" ref="GL33">IF(ROWS($GJ$3:GJ33)&gt;(ROWS($GJ$3:$GJ$33)-COUNTBLANK($GJ$3:$GJ$33)),"",INDEX($GJ$3:$GJ$33,SMALL(IF($GJ$3:$GJ$33&lt;&gt;"",ROW($GJ$3:$GJ$33)-2),ROWS($GJ$3:GJ33))))</f>
        <v/>
      </c>
      <c r="GM33" t="s">
        <v>810</v>
      </c>
      <c r="GN33" t="s">
        <v>468</v>
      </c>
      <c r="HB33" t="s">
        <v>425</v>
      </c>
      <c r="HC33" t="s">
        <v>357</v>
      </c>
    </row>
    <row r="34" spans="1:211" x14ac:dyDescent="0.35">
      <c r="A34" t="s">
        <v>113</v>
      </c>
      <c r="B34">
        <v>20</v>
      </c>
      <c r="C34">
        <v>20</v>
      </c>
      <c r="D34">
        <v>20</v>
      </c>
      <c r="E34">
        <v>20</v>
      </c>
      <c r="F34">
        <v>34</v>
      </c>
      <c r="G34">
        <v>34</v>
      </c>
      <c r="H34">
        <f t="shared" si="10"/>
        <v>36</v>
      </c>
      <c r="I34">
        <f t="shared" si="11"/>
        <v>36</v>
      </c>
      <c r="Y34" t="s">
        <v>576</v>
      </c>
      <c r="Z34">
        <v>500</v>
      </c>
      <c r="AA34" t="str">
        <f t="shared" si="4"/>
        <v>RAL 1015</v>
      </c>
      <c r="AB34" t="str">
        <f>IF((VLOOKUP(Wycena!$C$7,Mapping!$Q$15:$R$20,2,0))="tak","",AA34)</f>
        <v>RAL 1015</v>
      </c>
      <c r="AC34" t="e" cm="1">
        <f t="array" ref="AC34">IF(ROWS($AB$3:AB34)&gt;(ROWS($AB$3:$AB$229)-COUNTBLANK($AB$3:$AB$229)),"",INDEX($AB$3:$AB$229,SMALL(IF($AB$3:$AB$229&lt;&gt;"",ROW($AB$3:$AB$229)-2),ROWS($AB$3:AB34))))</f>
        <v>#N/A</v>
      </c>
      <c r="AX34">
        <v>103</v>
      </c>
      <c r="AY34">
        <v>0</v>
      </c>
      <c r="AZ34">
        <v>0</v>
      </c>
      <c r="BA34">
        <f>IF(Wycena!$C$16=78,Mapping!AY34,AZ34)</f>
        <v>0</v>
      </c>
      <c r="BD34">
        <v>211</v>
      </c>
      <c r="BE34">
        <v>0</v>
      </c>
      <c r="BF34">
        <v>0</v>
      </c>
      <c r="BG34">
        <f>IF(Wycena!$C$16=78,Mapping!BE34,BF34)</f>
        <v>0</v>
      </c>
      <c r="CO34" t="s">
        <v>330</v>
      </c>
      <c r="CQ34">
        <f>IF(Wycena!$C$14="Przylgowe",8,IF(Wycena!$C$14="Bezprzylgowe",6,0))</f>
        <v>8</v>
      </c>
      <c r="CR34">
        <v>0</v>
      </c>
      <c r="CS34">
        <v>0</v>
      </c>
      <c r="FW34" t="s">
        <v>803</v>
      </c>
      <c r="FX34" t="s">
        <v>806</v>
      </c>
      <c r="GI34" t="s">
        <v>263</v>
      </c>
      <c r="GJ34" t="s">
        <v>263</v>
      </c>
      <c r="GK34" t="s">
        <v>263</v>
      </c>
      <c r="GL34" t="s">
        <v>263</v>
      </c>
      <c r="GM34" t="s">
        <v>810</v>
      </c>
      <c r="GN34" t="s">
        <v>469</v>
      </c>
      <c r="HB34" t="s">
        <v>803</v>
      </c>
      <c r="HC34" s="9" t="s">
        <v>15</v>
      </c>
    </row>
    <row r="35" spans="1:211" x14ac:dyDescent="0.35">
      <c r="A35" t="s">
        <v>114</v>
      </c>
      <c r="B35">
        <v>20</v>
      </c>
      <c r="C35">
        <v>20</v>
      </c>
      <c r="D35">
        <v>20</v>
      </c>
      <c r="E35">
        <v>20</v>
      </c>
      <c r="F35">
        <v>34</v>
      </c>
      <c r="G35">
        <v>34</v>
      </c>
      <c r="H35">
        <f t="shared" si="10"/>
        <v>36</v>
      </c>
      <c r="I35">
        <f t="shared" si="11"/>
        <v>36</v>
      </c>
      <c r="Y35" t="s">
        <v>577</v>
      </c>
      <c r="Z35">
        <v>500</v>
      </c>
      <c r="AA35" t="str">
        <f t="shared" si="4"/>
        <v>RAL 1016</v>
      </c>
      <c r="AB35" t="str">
        <f>IF((VLOOKUP(Wycena!$C$7,Mapping!$Q$15:$R$20,2,0))="tak","",AA35)</f>
        <v>RAL 1016</v>
      </c>
      <c r="AC35" t="e" cm="1">
        <f t="array" ref="AC35">IF(ROWS($AB$3:AB35)&gt;(ROWS($AB$3:$AB$229)-COUNTBLANK($AB$3:$AB$229)),"",INDEX($AB$3:$AB$229,SMALL(IF($AB$3:$AB$229&lt;&gt;"",ROW($AB$3:$AB$229)-2),ROWS($AB$3:AB35))))</f>
        <v>#N/A</v>
      </c>
      <c r="AX35">
        <v>104</v>
      </c>
      <c r="AY35">
        <v>0</v>
      </c>
      <c r="AZ35">
        <v>0</v>
      </c>
      <c r="BA35">
        <f>IF(Wycena!$C$16=78,Mapping!AY35,AZ35)</f>
        <v>0</v>
      </c>
      <c r="BD35">
        <v>212</v>
      </c>
      <c r="BE35">
        <v>0</v>
      </c>
      <c r="BF35">
        <v>0</v>
      </c>
      <c r="BG35">
        <f>IF(Wycena!$C$16=78,Mapping!BE35,BF35)</f>
        <v>0</v>
      </c>
      <c r="CO35" t="s">
        <v>331</v>
      </c>
      <c r="CP35">
        <f>IF(Wycena!$C$14="Przylgowe",8,IF(Wycena!$C$14="Bezprzylgowe",6,0))</f>
        <v>8</v>
      </c>
      <c r="CQ35">
        <f>IF(Wycena!$C$14="Przylgowe",8,IF(Wycena!$C$14="Bezprzylgowe",6,0))</f>
        <v>8</v>
      </c>
      <c r="CR35">
        <v>0</v>
      </c>
      <c r="CS35">
        <v>0</v>
      </c>
      <c r="FW35" t="s">
        <v>803</v>
      </c>
      <c r="FX35" t="s">
        <v>807</v>
      </c>
      <c r="GI35" t="s">
        <v>47</v>
      </c>
      <c r="GJ35">
        <v>1</v>
      </c>
      <c r="GM35" t="s">
        <v>816</v>
      </c>
      <c r="GN35" t="s">
        <v>466</v>
      </c>
      <c r="HB35" t="s">
        <v>803</v>
      </c>
      <c r="HC35" t="s">
        <v>357</v>
      </c>
    </row>
    <row r="36" spans="1:211" x14ac:dyDescent="0.35">
      <c r="A36" t="s">
        <v>115</v>
      </c>
      <c r="B36">
        <v>20</v>
      </c>
      <c r="C36">
        <v>20</v>
      </c>
      <c r="D36">
        <v>20</v>
      </c>
      <c r="E36">
        <v>20</v>
      </c>
      <c r="F36">
        <v>34</v>
      </c>
      <c r="G36">
        <v>34</v>
      </c>
      <c r="H36">
        <f t="shared" si="10"/>
        <v>36</v>
      </c>
      <c r="I36">
        <f t="shared" si="11"/>
        <v>36</v>
      </c>
      <c r="Y36" t="s">
        <v>578</v>
      </c>
      <c r="Z36">
        <v>500</v>
      </c>
      <c r="AA36" t="str">
        <f t="shared" si="4"/>
        <v>RAL 1017</v>
      </c>
      <c r="AB36" t="str">
        <f>IF((VLOOKUP(Wycena!$C$7,Mapping!$Q$15:$R$20,2,0))="tak","",AA36)</f>
        <v>RAL 1017</v>
      </c>
      <c r="AC36" t="e" cm="1">
        <f t="array" ref="AC36">IF(ROWS($AB$3:AB36)&gt;(ROWS($AB$3:$AB$229)-COUNTBLANK($AB$3:$AB$229)),"",INDEX($AB$3:$AB$229,SMALL(IF($AB$3:$AB$229&lt;&gt;"",ROW($AB$3:$AB$229)-2),ROWS($AB$3:AB36))))</f>
        <v>#N/A</v>
      </c>
      <c r="AX36">
        <v>105</v>
      </c>
      <c r="AY36">
        <v>0</v>
      </c>
      <c r="AZ36">
        <v>0</v>
      </c>
      <c r="BA36">
        <f>IF(Wycena!$C$16=78,Mapping!AY36,AZ36)</f>
        <v>0</v>
      </c>
      <c r="BD36">
        <v>213</v>
      </c>
      <c r="BE36">
        <v>0</v>
      </c>
      <c r="BF36">
        <v>0</v>
      </c>
      <c r="BG36">
        <f>IF(Wycena!$C$16=78,Mapping!BE36,BF36)</f>
        <v>0</v>
      </c>
      <c r="CO36" t="s">
        <v>333</v>
      </c>
      <c r="CP36">
        <f>IF(Wycena!$C$14="Przylgowe",8,IF(Wycena!$C$14="Bezprzylgowe",6,0))</f>
        <v>8</v>
      </c>
      <c r="CQ36">
        <f>IF(Wycena!$C$14="Przylgowe",8,IF(Wycena!$C$14="Bezprzylgowe",6,0))</f>
        <v>8</v>
      </c>
      <c r="CR36">
        <f>IF(Wycena!$C$14="Przylgowe",8,IF(Wycena!$C$14="Bezprzylgowe",6,0))</f>
        <v>8</v>
      </c>
      <c r="CS36">
        <f>IF(Wycena!$C$14="Przylgowe",8,IF(Wycena!$C$14="Bezprzylgowe",6,0))</f>
        <v>8</v>
      </c>
      <c r="FW36" t="s">
        <v>804</v>
      </c>
      <c r="FX36" t="s">
        <v>806</v>
      </c>
      <c r="GI36" t="s">
        <v>428</v>
      </c>
      <c r="GJ36">
        <v>2</v>
      </c>
      <c r="GL36" t="e">
        <f t="array" ref="GL36">$GL$3:INDEX($GL$3:$GL$33,(ROWS($GJ$3:$GJ$33)-COUNTBLANK($GJ$3:$GJ$33)))</f>
        <v>#N/A</v>
      </c>
      <c r="GM36" t="s">
        <v>816</v>
      </c>
      <c r="GN36" t="s">
        <v>468</v>
      </c>
      <c r="HB36" t="s">
        <v>804</v>
      </c>
      <c r="HC36" s="9" t="s">
        <v>15</v>
      </c>
    </row>
    <row r="37" spans="1:211" x14ac:dyDescent="0.35">
      <c r="A37" t="s">
        <v>116</v>
      </c>
      <c r="B37">
        <v>20</v>
      </c>
      <c r="C37">
        <v>20</v>
      </c>
      <c r="D37">
        <v>20</v>
      </c>
      <c r="E37">
        <v>20</v>
      </c>
      <c r="F37">
        <v>34</v>
      </c>
      <c r="G37">
        <v>34</v>
      </c>
      <c r="H37">
        <f t="shared" si="10"/>
        <v>36</v>
      </c>
      <c r="I37">
        <f t="shared" si="11"/>
        <v>36</v>
      </c>
      <c r="Y37" t="s">
        <v>579</v>
      </c>
      <c r="Z37">
        <v>500</v>
      </c>
      <c r="AA37" t="str">
        <f t="shared" si="4"/>
        <v>RAL 1018</v>
      </c>
      <c r="AB37" t="str">
        <f>IF((VLOOKUP(Wycena!$C$7,Mapping!$Q$15:$R$20,2,0))="tak","",AA37)</f>
        <v>RAL 1018</v>
      </c>
      <c r="AC37" t="e" cm="1">
        <f t="array" ref="AC37">IF(ROWS($AB$3:AB37)&gt;(ROWS($AB$3:$AB$229)-COUNTBLANK($AB$3:$AB$229)),"",INDEX($AB$3:$AB$229,SMALL(IF($AB$3:$AB$229&lt;&gt;"",ROW($AB$3:$AB$229)-2),ROWS($AB$3:AB37))))</f>
        <v>#N/A</v>
      </c>
      <c r="AX37">
        <v>106</v>
      </c>
      <c r="AY37">
        <v>0</v>
      </c>
      <c r="AZ37">
        <v>0</v>
      </c>
      <c r="BA37">
        <f>IF(Wycena!$C$16=78,Mapping!AY37,AZ37)</f>
        <v>0</v>
      </c>
      <c r="BD37">
        <v>214</v>
      </c>
      <c r="BE37">
        <v>0</v>
      </c>
      <c r="BF37">
        <v>0</v>
      </c>
      <c r="BG37">
        <f>IF(Wycena!$C$16=78,Mapping!BE37,BF37)</f>
        <v>0</v>
      </c>
      <c r="CO37" t="s">
        <v>332</v>
      </c>
      <c r="CQ37">
        <f>IF(Wycena!$C$14="Przylgowe",8,IF(Wycena!$C$14="Bezprzylgowe",6,0))</f>
        <v>8</v>
      </c>
      <c r="CR37">
        <f>IF(Wycena!$C$14="Przylgowe",8,IF(Wycena!$C$14="Bezprzylgowe",6,0))</f>
        <v>8</v>
      </c>
      <c r="CS37">
        <f>IF(Wycena!$C$14="Przylgowe",8,IF(Wycena!$C$14="Bezprzylgowe",6,0))</f>
        <v>8</v>
      </c>
      <c r="FW37" t="s">
        <v>804</v>
      </c>
      <c r="FX37" t="s">
        <v>807</v>
      </c>
      <c r="GI37" t="s">
        <v>427</v>
      </c>
      <c r="GJ37">
        <v>3</v>
      </c>
      <c r="GM37" t="s">
        <v>816</v>
      </c>
      <c r="GN37" t="s">
        <v>469</v>
      </c>
      <c r="HB37" t="s">
        <v>804</v>
      </c>
      <c r="HC37" t="s">
        <v>357</v>
      </c>
    </row>
    <row r="38" spans="1:211" x14ac:dyDescent="0.35">
      <c r="A38" t="s">
        <v>117</v>
      </c>
      <c r="B38">
        <v>20</v>
      </c>
      <c r="C38">
        <v>20</v>
      </c>
      <c r="D38">
        <v>20</v>
      </c>
      <c r="E38">
        <v>20</v>
      </c>
      <c r="F38">
        <v>34</v>
      </c>
      <c r="G38">
        <v>34</v>
      </c>
      <c r="H38">
        <f t="shared" si="10"/>
        <v>36</v>
      </c>
      <c r="I38">
        <f t="shared" si="11"/>
        <v>36</v>
      </c>
      <c r="Y38" t="s">
        <v>580</v>
      </c>
      <c r="Z38">
        <v>500</v>
      </c>
      <c r="AA38" t="str">
        <f t="shared" si="4"/>
        <v>RAL 1019</v>
      </c>
      <c r="AB38" t="str">
        <f>IF((VLOOKUP(Wycena!$C$7,Mapping!$Q$15:$R$20,2,0))="tak","",AA38)</f>
        <v>RAL 1019</v>
      </c>
      <c r="AC38" t="e" cm="1">
        <f t="array" ref="AC38">IF(ROWS($AB$3:AB38)&gt;(ROWS($AB$3:$AB$229)-COUNTBLANK($AB$3:$AB$229)),"",INDEX($AB$3:$AB$229,SMALL(IF($AB$3:$AB$229&lt;&gt;"",ROW($AB$3:$AB$229)-2),ROWS($AB$3:AB38))))</f>
        <v>#N/A</v>
      </c>
      <c r="AX38">
        <v>107</v>
      </c>
      <c r="AY38">
        <v>0</v>
      </c>
      <c r="AZ38">
        <v>0</v>
      </c>
      <c r="BA38">
        <f>IF(Wycena!$C$16=78,Mapping!AY38,AZ38)</f>
        <v>0</v>
      </c>
      <c r="BD38">
        <v>215</v>
      </c>
      <c r="BE38">
        <v>0</v>
      </c>
      <c r="BF38">
        <v>0</v>
      </c>
      <c r="BG38">
        <f>IF(Wycena!$C$16=78,Mapping!BE38,BF38)</f>
        <v>0</v>
      </c>
      <c r="FW38" t="s">
        <v>805</v>
      </c>
      <c r="FX38" t="s">
        <v>806</v>
      </c>
      <c r="GI38" t="s">
        <v>429</v>
      </c>
      <c r="GJ38">
        <v>4</v>
      </c>
      <c r="GM38" t="s">
        <v>812</v>
      </c>
      <c r="GN38" t="s">
        <v>471</v>
      </c>
      <c r="HB38" t="s">
        <v>805</v>
      </c>
      <c r="HC38" s="9" t="s">
        <v>15</v>
      </c>
    </row>
    <row r="39" spans="1:211" x14ac:dyDescent="0.35">
      <c r="A39" t="s">
        <v>118</v>
      </c>
      <c r="B39">
        <v>20</v>
      </c>
      <c r="C39">
        <v>20</v>
      </c>
      <c r="D39">
        <v>20</v>
      </c>
      <c r="E39">
        <v>20</v>
      </c>
      <c r="F39">
        <v>34</v>
      </c>
      <c r="G39">
        <v>34</v>
      </c>
      <c r="H39">
        <f t="shared" si="10"/>
        <v>36</v>
      </c>
      <c r="I39">
        <f t="shared" si="11"/>
        <v>36</v>
      </c>
      <c r="Y39" t="s">
        <v>581</v>
      </c>
      <c r="Z39">
        <v>500</v>
      </c>
      <c r="AA39" t="str">
        <f t="shared" si="4"/>
        <v>RAL 1020</v>
      </c>
      <c r="AB39" t="str">
        <f>IF((VLOOKUP(Wycena!$C$7,Mapping!$Q$15:$R$20,2,0))="tak","",AA39)</f>
        <v>RAL 1020</v>
      </c>
      <c r="AC39" t="e" cm="1">
        <f t="array" ref="AC39">IF(ROWS($AB$3:AB39)&gt;(ROWS($AB$3:$AB$229)-COUNTBLANK($AB$3:$AB$229)),"",INDEX($AB$3:$AB$229,SMALL(IF($AB$3:$AB$229&lt;&gt;"",ROW($AB$3:$AB$229)-2),ROWS($AB$3:AB39))))</f>
        <v>#N/A</v>
      </c>
      <c r="AX39">
        <v>108</v>
      </c>
      <c r="AY39">
        <v>0</v>
      </c>
      <c r="AZ39">
        <v>0</v>
      </c>
      <c r="BA39">
        <f>IF(Wycena!$C$16=78,Mapping!AY39,AZ39)</f>
        <v>0</v>
      </c>
      <c r="BD39">
        <v>216</v>
      </c>
      <c r="BE39">
        <v>0</v>
      </c>
      <c r="BF39">
        <v>0</v>
      </c>
      <c r="BG39">
        <f>IF(Wycena!$C$16=78,Mapping!BE39,BF39)</f>
        <v>0</v>
      </c>
      <c r="CO39">
        <f>VLOOKUP(Wycena!C26,Mapping!$CO$40:$CS$49,IF(AND(Wycena!C20="-",Wycena!C21="-"),2,IF(AND(Wycena!C20&lt;&gt;"-",Wycena!C21="-"),3,IF(AND(Wycena!C20="-",Wycena!C21&lt;&gt;"-"),4,5))),0)</f>
        <v>0</v>
      </c>
      <c r="FW39" t="s">
        <v>805</v>
      </c>
      <c r="FX39" t="s">
        <v>807</v>
      </c>
      <c r="GI39" t="s">
        <v>426</v>
      </c>
      <c r="GJ39">
        <v>5</v>
      </c>
      <c r="GM39" t="s">
        <v>812</v>
      </c>
      <c r="GN39" t="s">
        <v>470</v>
      </c>
      <c r="HB39" t="s">
        <v>805</v>
      </c>
      <c r="HC39" t="s">
        <v>357</v>
      </c>
    </row>
    <row r="40" spans="1:211" x14ac:dyDescent="0.35">
      <c r="A40" t="s">
        <v>119</v>
      </c>
      <c r="B40">
        <v>20</v>
      </c>
      <c r="C40">
        <v>20</v>
      </c>
      <c r="D40">
        <v>20</v>
      </c>
      <c r="E40">
        <v>20</v>
      </c>
      <c r="F40">
        <v>34</v>
      </c>
      <c r="G40">
        <v>34</v>
      </c>
      <c r="H40">
        <f t="shared" si="10"/>
        <v>36</v>
      </c>
      <c r="I40">
        <f t="shared" si="11"/>
        <v>36</v>
      </c>
      <c r="Y40" t="s">
        <v>582</v>
      </c>
      <c r="Z40">
        <v>500</v>
      </c>
      <c r="AA40" t="str">
        <f t="shared" si="4"/>
        <v>RAL 1021</v>
      </c>
      <c r="AB40" t="str">
        <f>IF((VLOOKUP(Wycena!$C$7,Mapping!$Q$15:$R$20,2,0))="tak","",AA40)</f>
        <v>RAL 1021</v>
      </c>
      <c r="AC40" t="e" cm="1">
        <f t="array" ref="AC40">IF(ROWS($AB$3:AB40)&gt;(ROWS($AB$3:$AB$229)-COUNTBLANK($AB$3:$AB$229)),"",INDEX($AB$3:$AB$229,SMALL(IF($AB$3:$AB$229&lt;&gt;"",ROW($AB$3:$AB$229)-2),ROWS($AB$3:AB40))))</f>
        <v>#N/A</v>
      </c>
      <c r="AX40">
        <v>109</v>
      </c>
      <c r="AY40">
        <v>0</v>
      </c>
      <c r="AZ40">
        <v>0</v>
      </c>
      <c r="BA40">
        <f>IF(Wycena!$C$16=78,Mapping!AY40,AZ40)</f>
        <v>0</v>
      </c>
      <c r="BD40">
        <v>217</v>
      </c>
      <c r="BE40">
        <v>0</v>
      </c>
      <c r="BF40">
        <v>0</v>
      </c>
      <c r="BG40">
        <f>IF(Wycena!$C$16=78,Mapping!BE40,BF40)</f>
        <v>0</v>
      </c>
      <c r="CO40" t="s">
        <v>784</v>
      </c>
      <c r="CP40" s="10" t="s">
        <v>786</v>
      </c>
      <c r="CQ40" s="10" t="s">
        <v>787</v>
      </c>
      <c r="CR40" s="10" t="s">
        <v>788</v>
      </c>
      <c r="CS40" s="10" t="s">
        <v>789</v>
      </c>
      <c r="GI40" t="s">
        <v>425</v>
      </c>
      <c r="GJ40">
        <v>6</v>
      </c>
      <c r="GM40" t="s">
        <v>813</v>
      </c>
      <c r="GN40" t="s">
        <v>466</v>
      </c>
    </row>
    <row r="41" spans="1:211" x14ac:dyDescent="0.35">
      <c r="A41" t="s">
        <v>120</v>
      </c>
      <c r="B41">
        <v>20</v>
      </c>
      <c r="C41">
        <v>20</v>
      </c>
      <c r="D41">
        <v>20</v>
      </c>
      <c r="E41">
        <v>20</v>
      </c>
      <c r="F41">
        <v>34</v>
      </c>
      <c r="G41">
        <v>34</v>
      </c>
      <c r="H41">
        <f t="shared" si="10"/>
        <v>36</v>
      </c>
      <c r="I41">
        <f t="shared" si="11"/>
        <v>36</v>
      </c>
      <c r="Y41" t="s">
        <v>583</v>
      </c>
      <c r="Z41">
        <v>500</v>
      </c>
      <c r="AA41" t="str">
        <f t="shared" si="4"/>
        <v>RAL 1023</v>
      </c>
      <c r="AB41" t="str">
        <f>IF((VLOOKUP(Wycena!$C$7,Mapping!$Q$15:$R$20,2,0))="tak","",AA41)</f>
        <v>RAL 1023</v>
      </c>
      <c r="AC41" t="e" cm="1">
        <f t="array" ref="AC41">IF(ROWS($AB$3:AB41)&gt;(ROWS($AB$3:$AB$229)-COUNTBLANK($AB$3:$AB$229)),"",INDEX($AB$3:$AB$229,SMALL(IF($AB$3:$AB$229&lt;&gt;"",ROW($AB$3:$AB$229)-2),ROWS($AB$3:AB41))))</f>
        <v>#N/A</v>
      </c>
      <c r="AX41">
        <v>110</v>
      </c>
      <c r="AY41">
        <v>0</v>
      </c>
      <c r="AZ41">
        <v>0</v>
      </c>
      <c r="BA41">
        <f>IF(Wycena!$C$16=78,Mapping!AY41,AZ41)</f>
        <v>0</v>
      </c>
      <c r="BD41">
        <v>218</v>
      </c>
      <c r="BE41">
        <v>0</v>
      </c>
      <c r="BF41">
        <v>0</v>
      </c>
      <c r="BG41">
        <f>IF(Wycena!$C$16=78,Mapping!BE41,BF41)</f>
        <v>0</v>
      </c>
      <c r="CO41" s="9" t="s">
        <v>15</v>
      </c>
      <c r="CP41">
        <v>0</v>
      </c>
      <c r="CQ41">
        <v>0</v>
      </c>
      <c r="CR41">
        <v>0</v>
      </c>
      <c r="CS41">
        <v>0</v>
      </c>
      <c r="GI41" t="s">
        <v>803</v>
      </c>
      <c r="GJ41">
        <v>6</v>
      </c>
      <c r="GM41" t="s">
        <v>813</v>
      </c>
      <c r="GN41" t="s">
        <v>472</v>
      </c>
    </row>
    <row r="42" spans="1:211" x14ac:dyDescent="0.35">
      <c r="A42" t="s">
        <v>121</v>
      </c>
      <c r="B42">
        <v>20</v>
      </c>
      <c r="C42">
        <v>20</v>
      </c>
      <c r="D42">
        <v>20</v>
      </c>
      <c r="E42">
        <v>20</v>
      </c>
      <c r="F42">
        <v>34</v>
      </c>
      <c r="G42">
        <v>34</v>
      </c>
      <c r="H42">
        <f t="shared" si="10"/>
        <v>36</v>
      </c>
      <c r="I42">
        <f t="shared" si="11"/>
        <v>36</v>
      </c>
      <c r="Y42" t="s">
        <v>584</v>
      </c>
      <c r="Z42">
        <v>500</v>
      </c>
      <c r="AA42" t="str">
        <f t="shared" si="4"/>
        <v>RAL 1024</v>
      </c>
      <c r="AB42" t="str">
        <f>IF((VLOOKUP(Wycena!$C$7,Mapping!$Q$15:$R$20,2,0))="tak","",AA42)</f>
        <v>RAL 1024</v>
      </c>
      <c r="AC42" t="e" cm="1">
        <f t="array" ref="AC42">IF(ROWS($AB$3:AB42)&gt;(ROWS($AB$3:$AB$229)-COUNTBLANK($AB$3:$AB$229)),"",INDEX($AB$3:$AB$229,SMALL(IF($AB$3:$AB$229&lt;&gt;"",ROW($AB$3:$AB$229)-2),ROWS($AB$3:AB42))))</f>
        <v>#N/A</v>
      </c>
      <c r="AX42">
        <v>111</v>
      </c>
      <c r="AY42">
        <v>0</v>
      </c>
      <c r="AZ42">
        <v>0</v>
      </c>
      <c r="BA42">
        <f>IF(Wycena!$C$16=78,Mapping!AY42,AZ42)</f>
        <v>0</v>
      </c>
      <c r="BD42">
        <v>219</v>
      </c>
      <c r="BE42">
        <v>0</v>
      </c>
      <c r="BF42">
        <v>0</v>
      </c>
      <c r="BG42">
        <f>IF(Wycena!$C$16=78,Mapping!BE42,BF42)</f>
        <v>0</v>
      </c>
      <c r="CO42" t="s">
        <v>326</v>
      </c>
      <c r="CQ42">
        <f>-IF(Wycena!$C$14="Przylgowe",8,IF(Wycena!$C$14="Bezprzylgowe",6,0))</f>
        <v>-8</v>
      </c>
      <c r="CR42">
        <v>0</v>
      </c>
      <c r="CS42">
        <f>-IF(Wycena!$C$14="Przylgowe",8,IF(Wycena!$C$14="Bezprzylgowe",6,0))</f>
        <v>-8</v>
      </c>
      <c r="GI42" t="s">
        <v>804</v>
      </c>
      <c r="GJ42">
        <v>6</v>
      </c>
      <c r="GM42" t="s">
        <v>813</v>
      </c>
      <c r="GN42" t="s">
        <v>468</v>
      </c>
    </row>
    <row r="43" spans="1:211" x14ac:dyDescent="0.35">
      <c r="A43" t="s">
        <v>122</v>
      </c>
      <c r="B43">
        <v>20</v>
      </c>
      <c r="C43">
        <v>20</v>
      </c>
      <c r="D43">
        <v>20</v>
      </c>
      <c r="E43">
        <v>20</v>
      </c>
      <c r="F43">
        <v>34</v>
      </c>
      <c r="G43">
        <v>34</v>
      </c>
      <c r="H43">
        <f t="shared" si="10"/>
        <v>36</v>
      </c>
      <c r="I43">
        <f t="shared" si="11"/>
        <v>36</v>
      </c>
      <c r="Y43" t="s">
        <v>585</v>
      </c>
      <c r="Z43">
        <v>500</v>
      </c>
      <c r="AA43" t="str">
        <f t="shared" ref="AA43:AA68" si="12">Y43</f>
        <v>RAL 1026</v>
      </c>
      <c r="AB43" t="str">
        <f>IF((VLOOKUP(Wycena!$C$7,Mapping!$Q$15:$R$20,2,0))="tak","",AA43)</f>
        <v>RAL 1026</v>
      </c>
      <c r="AC43" t="e" cm="1">
        <f t="array" ref="AC43">IF(ROWS($AB$3:AB43)&gt;(ROWS($AB$3:$AB$229)-COUNTBLANK($AB$3:$AB$229)),"",INDEX($AB$3:$AB$229,SMALL(IF($AB$3:$AB$229&lt;&gt;"",ROW($AB$3:$AB$229)-2),ROWS($AB$3:AB43))))</f>
        <v>#N/A</v>
      </c>
      <c r="AX43">
        <v>112</v>
      </c>
      <c r="AY43">
        <v>0</v>
      </c>
      <c r="AZ43">
        <v>0</v>
      </c>
      <c r="BA43">
        <f>IF(Wycena!$C$16=78,Mapping!AY43,AZ43)</f>
        <v>0</v>
      </c>
      <c r="BD43">
        <v>220</v>
      </c>
      <c r="BE43">
        <v>0</v>
      </c>
      <c r="BF43">
        <v>0</v>
      </c>
      <c r="BG43">
        <f>IF(Wycena!$C$16=78,Mapping!BE43,BF43)</f>
        <v>0</v>
      </c>
      <c r="CO43" t="s">
        <v>327</v>
      </c>
      <c r="CQ43">
        <f>-IF(Wycena!$C$14="Przylgowe",8,IF(Wycena!$C$14="Bezprzylgowe",6,0))</f>
        <v>-8</v>
      </c>
      <c r="CR43">
        <v>0</v>
      </c>
      <c r="CS43">
        <f>-IF(Wycena!$C$14="Przylgowe",8,IF(Wycena!$C$14="Bezprzylgowe",6,0))</f>
        <v>-8</v>
      </c>
      <c r="GI43" t="s">
        <v>805</v>
      </c>
      <c r="GJ43">
        <v>6</v>
      </c>
      <c r="GM43" t="s">
        <v>814</v>
      </c>
      <c r="GN43" t="s">
        <v>466</v>
      </c>
    </row>
    <row r="44" spans="1:211" x14ac:dyDescent="0.35">
      <c r="A44" t="s">
        <v>123</v>
      </c>
      <c r="B44">
        <v>20</v>
      </c>
      <c r="C44">
        <v>20</v>
      </c>
      <c r="D44">
        <v>20</v>
      </c>
      <c r="E44">
        <v>20</v>
      </c>
      <c r="F44">
        <v>34</v>
      </c>
      <c r="G44">
        <v>34</v>
      </c>
      <c r="H44">
        <f t="shared" si="10"/>
        <v>36</v>
      </c>
      <c r="I44">
        <f t="shared" si="11"/>
        <v>36</v>
      </c>
      <c r="Y44" t="s">
        <v>586</v>
      </c>
      <c r="Z44">
        <v>500</v>
      </c>
      <c r="AA44" t="str">
        <f t="shared" si="12"/>
        <v>RAL 1027</v>
      </c>
      <c r="AB44" t="str">
        <f>IF((VLOOKUP(Wycena!$C$7,Mapping!$Q$15:$R$20,2,0))="tak","",AA44)</f>
        <v>RAL 1027</v>
      </c>
      <c r="AC44" t="e" cm="1">
        <f t="array" ref="AC44">IF(ROWS($AB$3:AB44)&gt;(ROWS($AB$3:$AB$229)-COUNTBLANK($AB$3:$AB$229)),"",INDEX($AB$3:$AB$229,SMALL(IF($AB$3:$AB$229&lt;&gt;"",ROW($AB$3:$AB$229)-2),ROWS($AB$3:AB44))))</f>
        <v>#N/A</v>
      </c>
      <c r="AX44">
        <v>113</v>
      </c>
      <c r="AY44">
        <v>0</v>
      </c>
      <c r="AZ44">
        <v>0</v>
      </c>
      <c r="BA44">
        <f>IF(Wycena!$C$16=78,Mapping!AY44,AZ44)</f>
        <v>0</v>
      </c>
      <c r="BD44">
        <v>221</v>
      </c>
      <c r="BE44">
        <v>0</v>
      </c>
      <c r="BF44">
        <v>0</v>
      </c>
      <c r="BG44">
        <f>IF(Wycena!$C$16=78,Mapping!BE44,BF44)</f>
        <v>0</v>
      </c>
      <c r="CO44" t="s">
        <v>328</v>
      </c>
      <c r="CQ44">
        <f>-IF(Wycena!$C$14="Przylgowe",8,IF(Wycena!$C$14="Bezprzylgowe",6,0))</f>
        <v>-8</v>
      </c>
      <c r="CR44">
        <v>0</v>
      </c>
      <c r="CS44">
        <f>-IF(Wycena!$C$14="Przylgowe",8,IF(Wycena!$C$14="Bezprzylgowe",6,0))</f>
        <v>-8</v>
      </c>
      <c r="GM44" t="s">
        <v>814</v>
      </c>
      <c r="GN44" t="s">
        <v>472</v>
      </c>
    </row>
    <row r="45" spans="1:211" x14ac:dyDescent="0.35">
      <c r="A45" t="s">
        <v>124</v>
      </c>
      <c r="B45">
        <v>20</v>
      </c>
      <c r="C45">
        <v>20</v>
      </c>
      <c r="D45">
        <v>20</v>
      </c>
      <c r="E45">
        <v>20</v>
      </c>
      <c r="F45">
        <v>34</v>
      </c>
      <c r="G45">
        <v>34</v>
      </c>
      <c r="H45">
        <f t="shared" si="10"/>
        <v>36</v>
      </c>
      <c r="I45">
        <f t="shared" si="11"/>
        <v>36</v>
      </c>
      <c r="Y45" t="s">
        <v>587</v>
      </c>
      <c r="Z45">
        <v>500</v>
      </c>
      <c r="AA45" t="str">
        <f t="shared" si="12"/>
        <v>RAL 1028</v>
      </c>
      <c r="AB45" t="str">
        <f>IF((VLOOKUP(Wycena!$C$7,Mapping!$Q$15:$R$20,2,0))="tak","",AA45)</f>
        <v>RAL 1028</v>
      </c>
      <c r="AC45" t="e" cm="1">
        <f t="array" ref="AC45">IF(ROWS($AB$3:AB45)&gt;(ROWS($AB$3:$AB$229)-COUNTBLANK($AB$3:$AB$229)),"",INDEX($AB$3:$AB$229,SMALL(IF($AB$3:$AB$229&lt;&gt;"",ROW($AB$3:$AB$229)-2),ROWS($AB$3:AB45))))</f>
        <v>#N/A</v>
      </c>
      <c r="AX45">
        <v>114</v>
      </c>
      <c r="AY45">
        <v>0</v>
      </c>
      <c r="AZ45">
        <v>0</v>
      </c>
      <c r="BA45">
        <f>IF(Wycena!$C$16=78,Mapping!AY45,AZ45)</f>
        <v>0</v>
      </c>
      <c r="BD45">
        <v>222</v>
      </c>
      <c r="BE45">
        <v>0</v>
      </c>
      <c r="BF45">
        <v>0</v>
      </c>
      <c r="BG45">
        <f>IF(Wycena!$C$16=78,Mapping!BE45,BF45)</f>
        <v>0</v>
      </c>
      <c r="CO45" t="s">
        <v>329</v>
      </c>
      <c r="CQ45">
        <f>-IF(Wycena!$C$14="Przylgowe",8,IF(Wycena!$C$14="Bezprzylgowe",6,0))</f>
        <v>-8</v>
      </c>
      <c r="CR45">
        <v>0</v>
      </c>
      <c r="CS45">
        <f>-IF(Wycena!$C$14="Przylgowe",8,IF(Wycena!$C$14="Bezprzylgowe",6,0))</f>
        <v>-8</v>
      </c>
      <c r="GM45" t="s">
        <v>814</v>
      </c>
      <c r="GN45" t="s">
        <v>468</v>
      </c>
    </row>
    <row r="46" spans="1:211" x14ac:dyDescent="0.35">
      <c r="A46" t="s">
        <v>125</v>
      </c>
      <c r="B46">
        <v>20</v>
      </c>
      <c r="C46">
        <v>20</v>
      </c>
      <c r="D46">
        <v>20</v>
      </c>
      <c r="E46">
        <v>20</v>
      </c>
      <c r="F46">
        <v>34</v>
      </c>
      <c r="G46">
        <v>34</v>
      </c>
      <c r="H46">
        <f t="shared" si="10"/>
        <v>36</v>
      </c>
      <c r="I46">
        <f t="shared" si="11"/>
        <v>36</v>
      </c>
      <c r="Y46" t="s">
        <v>588</v>
      </c>
      <c r="Z46">
        <v>500</v>
      </c>
      <c r="AA46" t="str">
        <f t="shared" si="12"/>
        <v>RAL 1032</v>
      </c>
      <c r="AB46" t="str">
        <f>IF((VLOOKUP(Wycena!$C$7,Mapping!$Q$15:$R$20,2,0))="tak","",AA46)</f>
        <v>RAL 1032</v>
      </c>
      <c r="AC46" t="e" cm="1">
        <f t="array" ref="AC46">IF(ROWS($AB$3:AB46)&gt;(ROWS($AB$3:$AB$229)-COUNTBLANK($AB$3:$AB$229)),"",INDEX($AB$3:$AB$229,SMALL(IF($AB$3:$AB$229&lt;&gt;"",ROW($AB$3:$AB$229)-2),ROWS($AB$3:AB46))))</f>
        <v>#N/A</v>
      </c>
      <c r="AX46">
        <v>115</v>
      </c>
      <c r="AY46">
        <v>0</v>
      </c>
      <c r="AZ46">
        <v>0</v>
      </c>
      <c r="BA46">
        <f>IF(Wycena!$C$16=78,Mapping!AY46,AZ46)</f>
        <v>0</v>
      </c>
      <c r="BD46">
        <v>223</v>
      </c>
      <c r="BE46">
        <v>0</v>
      </c>
      <c r="BF46">
        <v>0</v>
      </c>
      <c r="BG46">
        <f>IF(Wycena!$C$16=78,Mapping!BE46,BF46)</f>
        <v>0</v>
      </c>
      <c r="CO46" t="s">
        <v>330</v>
      </c>
      <c r="CQ46">
        <f>-IF(Wycena!$C$14="Przylgowe",8,IF(Wycena!$C$14="Bezprzylgowe",6,0))</f>
        <v>-8</v>
      </c>
      <c r="CR46">
        <v>0</v>
      </c>
      <c r="CS46">
        <f>-IF(Wycena!$C$14="Przylgowe",8,IF(Wycena!$C$14="Bezprzylgowe",6,0))</f>
        <v>-8</v>
      </c>
      <c r="GM46" t="s">
        <v>814</v>
      </c>
      <c r="GN46" t="s">
        <v>469</v>
      </c>
    </row>
    <row r="47" spans="1:211" x14ac:dyDescent="0.35">
      <c r="A47" t="s">
        <v>126</v>
      </c>
      <c r="B47">
        <v>20</v>
      </c>
      <c r="C47">
        <v>20</v>
      </c>
      <c r="D47">
        <v>20</v>
      </c>
      <c r="E47">
        <v>20</v>
      </c>
      <c r="F47">
        <v>34</v>
      </c>
      <c r="G47">
        <v>34</v>
      </c>
      <c r="H47">
        <f t="shared" si="10"/>
        <v>36</v>
      </c>
      <c r="I47">
        <f t="shared" si="11"/>
        <v>36</v>
      </c>
      <c r="Y47" t="s">
        <v>589</v>
      </c>
      <c r="Z47">
        <v>500</v>
      </c>
      <c r="AA47" t="str">
        <f t="shared" si="12"/>
        <v>RAL 1033</v>
      </c>
      <c r="AB47" t="str">
        <f>IF((VLOOKUP(Wycena!$C$7,Mapping!$Q$15:$R$20,2,0))="tak","",AA47)</f>
        <v>RAL 1033</v>
      </c>
      <c r="AC47" t="e" cm="1">
        <f t="array" ref="AC47">IF(ROWS($AB$3:AB47)&gt;(ROWS($AB$3:$AB$229)-COUNTBLANK($AB$3:$AB$229)),"",INDEX($AB$3:$AB$229,SMALL(IF($AB$3:$AB$229&lt;&gt;"",ROW($AB$3:$AB$229)-2),ROWS($AB$3:AB47))))</f>
        <v>#N/A</v>
      </c>
      <c r="AX47">
        <v>116</v>
      </c>
      <c r="AY47">
        <v>0</v>
      </c>
      <c r="AZ47">
        <v>0</v>
      </c>
      <c r="BA47">
        <f>IF(Wycena!$C$16=78,Mapping!AY47,AZ47)</f>
        <v>0</v>
      </c>
      <c r="BD47">
        <v>224</v>
      </c>
      <c r="BE47">
        <v>0</v>
      </c>
      <c r="BF47">
        <v>0</v>
      </c>
      <c r="BG47">
        <f>IF(Wycena!$C$16=78,Mapping!BE47,BF47)</f>
        <v>0</v>
      </c>
      <c r="CO47" t="s">
        <v>331</v>
      </c>
      <c r="CQ47">
        <f>-IF(Wycena!$C$14="Przylgowe",8,IF(Wycena!$C$14="Bezprzylgowe",6,0))</f>
        <v>-8</v>
      </c>
      <c r="CR47">
        <v>0</v>
      </c>
      <c r="CS47">
        <f>-IF(Wycena!$C$14="Przylgowe",8,IF(Wycena!$C$14="Bezprzylgowe",6,0))</f>
        <v>-8</v>
      </c>
      <c r="GM47" t="s">
        <v>815</v>
      </c>
      <c r="GN47" t="s">
        <v>466</v>
      </c>
    </row>
    <row r="48" spans="1:211" x14ac:dyDescent="0.35">
      <c r="A48" t="s">
        <v>127</v>
      </c>
      <c r="B48">
        <v>20</v>
      </c>
      <c r="C48">
        <v>20</v>
      </c>
      <c r="D48">
        <v>20</v>
      </c>
      <c r="E48">
        <v>20</v>
      </c>
      <c r="F48">
        <v>34</v>
      </c>
      <c r="G48">
        <v>34</v>
      </c>
      <c r="H48">
        <f t="shared" si="10"/>
        <v>36</v>
      </c>
      <c r="I48">
        <f t="shared" si="11"/>
        <v>36</v>
      </c>
      <c r="Y48" t="s">
        <v>590</v>
      </c>
      <c r="Z48">
        <v>500</v>
      </c>
      <c r="AA48" t="str">
        <f t="shared" si="12"/>
        <v>RAL 1034</v>
      </c>
      <c r="AB48" t="str">
        <f>IF((VLOOKUP(Wycena!$C$7,Mapping!$Q$15:$R$20,2,0))="tak","",AA48)</f>
        <v>RAL 1034</v>
      </c>
      <c r="AC48" t="e" cm="1">
        <f t="array" ref="AC48">IF(ROWS($AB$3:AB48)&gt;(ROWS($AB$3:$AB$229)-COUNTBLANK($AB$3:$AB$229)),"",INDEX($AB$3:$AB$229,SMALL(IF($AB$3:$AB$229&lt;&gt;"",ROW($AB$3:$AB$229)-2),ROWS($AB$3:AB48))))</f>
        <v>#N/A</v>
      </c>
      <c r="AX48">
        <v>117</v>
      </c>
      <c r="AY48">
        <v>0</v>
      </c>
      <c r="AZ48">
        <v>0</v>
      </c>
      <c r="BA48">
        <f>IF(Wycena!$C$16=78,Mapping!AY48,AZ48)</f>
        <v>0</v>
      </c>
      <c r="BD48">
        <v>225</v>
      </c>
      <c r="BE48">
        <v>0</v>
      </c>
      <c r="BF48">
        <v>0</v>
      </c>
      <c r="BG48">
        <f>IF(Wycena!$C$16=78,Mapping!BE48,BF48)</f>
        <v>0</v>
      </c>
      <c r="CO48" t="s">
        <v>333</v>
      </c>
      <c r="CQ48">
        <f>-IF(Wycena!$C$14="Przylgowe",8,IF(Wycena!$C$14="Bezprzylgowe",6,0))</f>
        <v>-8</v>
      </c>
      <c r="CR48">
        <v>0</v>
      </c>
      <c r="CS48">
        <f>-IF(Wycena!$C$14="Przylgowe",8,IF(Wycena!$C$14="Bezprzylgowe",6,0))</f>
        <v>-8</v>
      </c>
      <c r="GM48" t="s">
        <v>815</v>
      </c>
      <c r="GN48" t="s">
        <v>472</v>
      </c>
    </row>
    <row r="49" spans="1:196" x14ac:dyDescent="0.35">
      <c r="A49" t="s">
        <v>128</v>
      </c>
      <c r="B49">
        <v>20</v>
      </c>
      <c r="C49">
        <v>20</v>
      </c>
      <c r="D49">
        <v>20</v>
      </c>
      <c r="E49">
        <v>20</v>
      </c>
      <c r="F49">
        <v>34</v>
      </c>
      <c r="G49">
        <v>34</v>
      </c>
      <c r="H49">
        <f t="shared" si="10"/>
        <v>36</v>
      </c>
      <c r="I49">
        <f t="shared" si="11"/>
        <v>36</v>
      </c>
      <c r="Y49" t="s">
        <v>591</v>
      </c>
      <c r="Z49">
        <v>500</v>
      </c>
      <c r="AA49" t="str">
        <f t="shared" si="12"/>
        <v>RAL 1035</v>
      </c>
      <c r="AB49" t="str">
        <f>IF((VLOOKUP(Wycena!$C$7,Mapping!$Q$15:$R$20,2,0))="tak","",AA49)</f>
        <v>RAL 1035</v>
      </c>
      <c r="AC49" t="e" cm="1">
        <f t="array" ref="AC49">IF(ROWS($AB$3:AB49)&gt;(ROWS($AB$3:$AB$229)-COUNTBLANK($AB$3:$AB$229)),"",INDEX($AB$3:$AB$229,SMALL(IF($AB$3:$AB$229&lt;&gt;"",ROW($AB$3:$AB$229)-2),ROWS($AB$3:AB49))))</f>
        <v>#N/A</v>
      </c>
      <c r="AX49">
        <v>118</v>
      </c>
      <c r="AY49">
        <v>0</v>
      </c>
      <c r="AZ49">
        <v>0</v>
      </c>
      <c r="BA49">
        <f>IF(Wycena!$C$16=78,Mapping!AY49,AZ49)</f>
        <v>0</v>
      </c>
      <c r="BD49">
        <v>226</v>
      </c>
      <c r="BE49">
        <v>0</v>
      </c>
      <c r="BF49">
        <v>0</v>
      </c>
      <c r="BG49">
        <f>IF(Wycena!$C$16=78,Mapping!BE49,BF49)</f>
        <v>0</v>
      </c>
      <c r="CO49" t="s">
        <v>332</v>
      </c>
      <c r="CQ49">
        <f>-IF(Wycena!$C$14="Przylgowe",8,IF(Wycena!$C$14="Bezprzylgowe",6,0))</f>
        <v>-8</v>
      </c>
      <c r="CR49">
        <v>0</v>
      </c>
      <c r="CS49">
        <f>-IF(Wycena!$C$14="Przylgowe",8,IF(Wycena!$C$14="Bezprzylgowe",6,0))</f>
        <v>-8</v>
      </c>
      <c r="GM49" t="s">
        <v>815</v>
      </c>
      <c r="GN49" t="s">
        <v>468</v>
      </c>
    </row>
    <row r="50" spans="1:196" x14ac:dyDescent="0.35">
      <c r="A50" t="s">
        <v>130</v>
      </c>
      <c r="B50">
        <v>20</v>
      </c>
      <c r="C50">
        <v>20</v>
      </c>
      <c r="D50">
        <v>20</v>
      </c>
      <c r="E50">
        <v>20</v>
      </c>
      <c r="F50">
        <v>34</v>
      </c>
      <c r="G50">
        <v>34</v>
      </c>
      <c r="H50">
        <f t="shared" si="10"/>
        <v>36</v>
      </c>
      <c r="I50">
        <f t="shared" si="11"/>
        <v>36</v>
      </c>
      <c r="Y50" t="s">
        <v>592</v>
      </c>
      <c r="Z50">
        <v>500</v>
      </c>
      <c r="AA50" t="str">
        <f t="shared" si="12"/>
        <v>RAL 1036</v>
      </c>
      <c r="AB50" t="str">
        <f>IF((VLOOKUP(Wycena!$C$7,Mapping!$Q$15:$R$20,2,0))="tak","",AA50)</f>
        <v>RAL 1036</v>
      </c>
      <c r="AC50" t="e" cm="1">
        <f t="array" ref="AC50">IF(ROWS($AB$3:AB50)&gt;(ROWS($AB$3:$AB$229)-COUNTBLANK($AB$3:$AB$229)),"",INDEX($AB$3:$AB$229,SMALL(IF($AB$3:$AB$229&lt;&gt;"",ROW($AB$3:$AB$229)-2),ROWS($AB$3:AB50))))</f>
        <v>#N/A</v>
      </c>
      <c r="AX50">
        <v>119</v>
      </c>
      <c r="AY50">
        <v>0</v>
      </c>
      <c r="AZ50">
        <v>0</v>
      </c>
      <c r="BA50">
        <f>IF(Wycena!$C$16=78,Mapping!AY50,AZ50)</f>
        <v>0</v>
      </c>
      <c r="BD50">
        <v>227</v>
      </c>
      <c r="BE50">
        <v>0</v>
      </c>
      <c r="BF50">
        <v>0</v>
      </c>
      <c r="BG50">
        <f>IF(Wycena!$C$16=78,Mapping!BE50,BF50)</f>
        <v>0</v>
      </c>
      <c r="GM50" t="s">
        <v>447</v>
      </c>
      <c r="GN50" t="s">
        <v>467</v>
      </c>
    </row>
    <row r="51" spans="1:196" x14ac:dyDescent="0.35">
      <c r="A51" t="s">
        <v>131</v>
      </c>
      <c r="B51">
        <v>20</v>
      </c>
      <c r="C51">
        <v>20</v>
      </c>
      <c r="D51">
        <v>20</v>
      </c>
      <c r="E51">
        <v>20</v>
      </c>
      <c r="F51">
        <v>34</v>
      </c>
      <c r="G51">
        <v>34</v>
      </c>
      <c r="H51">
        <f t="shared" si="10"/>
        <v>36</v>
      </c>
      <c r="I51">
        <f t="shared" si="11"/>
        <v>36</v>
      </c>
      <c r="Y51" t="s">
        <v>593</v>
      </c>
      <c r="Z51">
        <v>500</v>
      </c>
      <c r="AA51" t="str">
        <f t="shared" si="12"/>
        <v>RAL 1037</v>
      </c>
      <c r="AB51" t="str">
        <f>IF((VLOOKUP(Wycena!$C$7,Mapping!$Q$15:$R$20,2,0))="tak","",AA51)</f>
        <v>RAL 1037</v>
      </c>
      <c r="AC51" t="e" cm="1">
        <f t="array" ref="AC51">IF(ROWS($AB$3:AB51)&gt;(ROWS($AB$3:$AB$229)-COUNTBLANK($AB$3:$AB$229)),"",INDEX($AB$3:$AB$229,SMALL(IF($AB$3:$AB$229&lt;&gt;"",ROW($AB$3:$AB$229)-2),ROWS($AB$3:AB51))))</f>
        <v>#N/A</v>
      </c>
      <c r="AX51">
        <v>120</v>
      </c>
      <c r="AY51">
        <v>0</v>
      </c>
      <c r="AZ51">
        <v>0</v>
      </c>
      <c r="BA51">
        <f>IF(Wycena!$C$16=78,Mapping!AY51,AZ51)</f>
        <v>0</v>
      </c>
      <c r="BD51">
        <v>228</v>
      </c>
      <c r="BE51">
        <v>0</v>
      </c>
      <c r="BF51">
        <v>0</v>
      </c>
      <c r="BG51">
        <f>IF(Wycena!$C$16=78,Mapping!BE51,BF51)</f>
        <v>0</v>
      </c>
      <c r="CO51">
        <f>VLOOKUP(Wycena!C26,Mapping!$CO$52:$CS$61,IF(AND(Wycena!C20="-",Wycena!C21="-"),2,IF(AND(Wycena!C20&lt;&gt;"-",Wycena!C21="-"),3,IF(AND(Wycena!C20="-",Wycena!C21&lt;&gt;"-"),4,5))),0)</f>
        <v>0</v>
      </c>
      <c r="GM51" t="s">
        <v>447</v>
      </c>
      <c r="GN51" t="s">
        <v>473</v>
      </c>
    </row>
    <row r="52" spans="1:196" x14ac:dyDescent="0.35">
      <c r="A52" t="s">
        <v>132</v>
      </c>
      <c r="B52">
        <v>20</v>
      </c>
      <c r="C52">
        <v>20</v>
      </c>
      <c r="D52">
        <v>20</v>
      </c>
      <c r="E52">
        <v>20</v>
      </c>
      <c r="F52">
        <v>34</v>
      </c>
      <c r="G52">
        <v>34</v>
      </c>
      <c r="H52">
        <f t="shared" si="10"/>
        <v>36</v>
      </c>
      <c r="I52">
        <f t="shared" si="11"/>
        <v>36</v>
      </c>
      <c r="Y52" t="s">
        <v>594</v>
      </c>
      <c r="Z52">
        <v>500</v>
      </c>
      <c r="AA52" t="str">
        <f t="shared" si="12"/>
        <v>RAL 2000</v>
      </c>
      <c r="AB52" t="str">
        <f>IF((VLOOKUP(Wycena!$C$7,Mapping!$Q$15:$R$20,2,0))="tak","",AA52)</f>
        <v>RAL 2000</v>
      </c>
      <c r="AC52" t="e" cm="1">
        <f t="array" ref="AC52">IF(ROWS($AB$3:AB52)&gt;(ROWS($AB$3:$AB$229)-COUNTBLANK($AB$3:$AB$229)),"",INDEX($AB$3:$AB$229,SMALL(IF($AB$3:$AB$229&lt;&gt;"",ROW($AB$3:$AB$229)-2),ROWS($AB$3:AB52))))</f>
        <v>#N/A</v>
      </c>
      <c r="AX52">
        <v>121</v>
      </c>
      <c r="AY52">
        <v>0</v>
      </c>
      <c r="AZ52">
        <v>0</v>
      </c>
      <c r="BA52">
        <f>IF(Wycena!$C$16=78,Mapping!AY52,AZ52)</f>
        <v>0</v>
      </c>
      <c r="BD52">
        <v>229</v>
      </c>
      <c r="BE52">
        <v>0</v>
      </c>
      <c r="BF52">
        <v>0</v>
      </c>
      <c r="BG52">
        <f>IF(Wycena!$C$16=78,Mapping!BE52,BF52)</f>
        <v>0</v>
      </c>
      <c r="CO52" t="s">
        <v>785</v>
      </c>
      <c r="CP52" s="10" t="s">
        <v>786</v>
      </c>
      <c r="CQ52" s="10" t="s">
        <v>787</v>
      </c>
      <c r="CR52" s="10" t="s">
        <v>788</v>
      </c>
      <c r="CS52" s="10" t="s">
        <v>789</v>
      </c>
      <c r="GM52" t="s">
        <v>447</v>
      </c>
      <c r="GN52" t="s">
        <v>468</v>
      </c>
    </row>
    <row r="53" spans="1:196" x14ac:dyDescent="0.35">
      <c r="A53" t="s">
        <v>133</v>
      </c>
      <c r="B53">
        <v>20</v>
      </c>
      <c r="C53">
        <v>20</v>
      </c>
      <c r="D53">
        <v>20</v>
      </c>
      <c r="E53">
        <v>20</v>
      </c>
      <c r="F53">
        <v>34</v>
      </c>
      <c r="G53">
        <v>34</v>
      </c>
      <c r="H53">
        <f t="shared" si="10"/>
        <v>36</v>
      </c>
      <c r="I53">
        <f t="shared" si="11"/>
        <v>36</v>
      </c>
      <c r="Y53" t="s">
        <v>595</v>
      </c>
      <c r="Z53">
        <v>500</v>
      </c>
      <c r="AA53" t="str">
        <f t="shared" si="12"/>
        <v>RAL 2001</v>
      </c>
      <c r="AB53" t="str">
        <f>IF((VLOOKUP(Wycena!$C$7,Mapping!$Q$15:$R$20,2,0))="tak","",AA53)</f>
        <v>RAL 2001</v>
      </c>
      <c r="AC53" t="e" cm="1">
        <f t="array" ref="AC53">IF(ROWS($AB$3:AB53)&gt;(ROWS($AB$3:$AB$229)-COUNTBLANK($AB$3:$AB$229)),"",INDEX($AB$3:$AB$229,SMALL(IF($AB$3:$AB$229&lt;&gt;"",ROW($AB$3:$AB$229)-2),ROWS($AB$3:AB53))))</f>
        <v>#N/A</v>
      </c>
      <c r="AX53">
        <v>122</v>
      </c>
      <c r="AY53">
        <v>0</v>
      </c>
      <c r="AZ53">
        <v>0</v>
      </c>
      <c r="BA53">
        <f>IF(Wycena!$C$16=78,Mapping!AY53,AZ53)</f>
        <v>0</v>
      </c>
      <c r="BD53">
        <v>230</v>
      </c>
      <c r="BE53">
        <v>0</v>
      </c>
      <c r="BF53">
        <v>0</v>
      </c>
      <c r="BG53">
        <f>IF(Wycena!$C$16=78,Mapping!BE53,BF53)</f>
        <v>0</v>
      </c>
      <c r="CO53" s="9" t="s">
        <v>15</v>
      </c>
      <c r="CP53">
        <v>0</v>
      </c>
      <c r="CQ53">
        <v>0</v>
      </c>
      <c r="CR53">
        <v>0</v>
      </c>
      <c r="CS53">
        <v>0</v>
      </c>
      <c r="GM53" t="s">
        <v>447</v>
      </c>
      <c r="GN53" t="s">
        <v>474</v>
      </c>
    </row>
    <row r="54" spans="1:196" x14ac:dyDescent="0.35">
      <c r="A54" t="s">
        <v>134</v>
      </c>
      <c r="B54">
        <v>20</v>
      </c>
      <c r="C54">
        <v>20</v>
      </c>
      <c r="D54">
        <v>20</v>
      </c>
      <c r="E54">
        <v>20</v>
      </c>
      <c r="F54">
        <v>34</v>
      </c>
      <c r="G54">
        <v>34</v>
      </c>
      <c r="H54">
        <f t="shared" si="10"/>
        <v>36</v>
      </c>
      <c r="I54">
        <f t="shared" si="11"/>
        <v>36</v>
      </c>
      <c r="Y54" t="s">
        <v>596</v>
      </c>
      <c r="Z54">
        <v>500</v>
      </c>
      <c r="AA54" t="str">
        <f t="shared" si="12"/>
        <v>RAL 2002</v>
      </c>
      <c r="AB54" t="str">
        <f>IF((VLOOKUP(Wycena!$C$7,Mapping!$Q$15:$R$20,2,0))="tak","",AA54)</f>
        <v>RAL 2002</v>
      </c>
      <c r="AC54" t="e" cm="1">
        <f t="array" ref="AC54">IF(ROWS($AB$3:AB54)&gt;(ROWS($AB$3:$AB$229)-COUNTBLANK($AB$3:$AB$229)),"",INDEX($AB$3:$AB$229,SMALL(IF($AB$3:$AB$229&lt;&gt;"",ROW($AB$3:$AB$229)-2),ROWS($AB$3:AB54))))</f>
        <v>#N/A</v>
      </c>
      <c r="AX54">
        <v>123</v>
      </c>
      <c r="AY54">
        <v>0</v>
      </c>
      <c r="AZ54">
        <v>0</v>
      </c>
      <c r="BA54">
        <f>IF(Wycena!$C$16=78,Mapping!AY54,AZ54)</f>
        <v>0</v>
      </c>
      <c r="BD54">
        <v>231</v>
      </c>
      <c r="BE54">
        <v>0</v>
      </c>
      <c r="BF54">
        <v>0</v>
      </c>
      <c r="BG54">
        <f>IF(Wycena!$C$16=78,Mapping!BE54,BF54)</f>
        <v>0</v>
      </c>
      <c r="CO54" t="s">
        <v>326</v>
      </c>
      <c r="CQ54">
        <v>0</v>
      </c>
      <c r="CR54">
        <f>-IF(Wycena!$C$14="Przylgowe",8,IF(Wycena!$C$14="Bezprzylgowe",6,0))</f>
        <v>-8</v>
      </c>
      <c r="CS54">
        <f>-IF(Wycena!$C$14="Przylgowe",8,IF(Wycena!$C$14="Bezprzylgowe",6,0))</f>
        <v>-8</v>
      </c>
      <c r="GM54" t="s">
        <v>458</v>
      </c>
      <c r="GN54" t="s">
        <v>466</v>
      </c>
    </row>
    <row r="55" spans="1:196" x14ac:dyDescent="0.35">
      <c r="A55" t="s">
        <v>135</v>
      </c>
      <c r="B55">
        <v>20</v>
      </c>
      <c r="C55">
        <v>20</v>
      </c>
      <c r="D55">
        <v>20</v>
      </c>
      <c r="E55">
        <v>20</v>
      </c>
      <c r="F55">
        <v>34</v>
      </c>
      <c r="G55">
        <v>34</v>
      </c>
      <c r="H55">
        <f t="shared" si="10"/>
        <v>36</v>
      </c>
      <c r="I55">
        <f t="shared" si="11"/>
        <v>36</v>
      </c>
      <c r="Y55" t="s">
        <v>597</v>
      </c>
      <c r="Z55">
        <v>500</v>
      </c>
      <c r="AA55" t="str">
        <f t="shared" si="12"/>
        <v>RAL 2003</v>
      </c>
      <c r="AB55" t="str">
        <f>IF((VLOOKUP(Wycena!$C$7,Mapping!$Q$15:$R$20,2,0))="tak","",AA55)</f>
        <v>RAL 2003</v>
      </c>
      <c r="AC55" t="e" cm="1">
        <f t="array" ref="AC55">IF(ROWS($AB$3:AB55)&gt;(ROWS($AB$3:$AB$229)-COUNTBLANK($AB$3:$AB$229)),"",INDEX($AB$3:$AB$229,SMALL(IF($AB$3:$AB$229&lt;&gt;"",ROW($AB$3:$AB$229)-2),ROWS($AB$3:AB55))))</f>
        <v>#N/A</v>
      </c>
      <c r="AX55">
        <v>124</v>
      </c>
      <c r="AY55">
        <v>0</v>
      </c>
      <c r="AZ55">
        <v>0</v>
      </c>
      <c r="BA55">
        <f>IF(Wycena!$C$16=78,Mapping!AY55,AZ55)</f>
        <v>0</v>
      </c>
      <c r="BD55">
        <v>232</v>
      </c>
      <c r="BE55">
        <v>0</v>
      </c>
      <c r="BF55">
        <v>0</v>
      </c>
      <c r="BG55">
        <f>IF(Wycena!$C$16=78,Mapping!BE55,BF55)</f>
        <v>0</v>
      </c>
      <c r="CO55" t="s">
        <v>327</v>
      </c>
      <c r="CQ55">
        <v>0</v>
      </c>
      <c r="CR55">
        <f>-IF(Wycena!$C$14="Przylgowe",8,IF(Wycena!$C$14="Bezprzylgowe",6,0))</f>
        <v>-8</v>
      </c>
      <c r="CS55">
        <f>-IF(Wycena!$C$14="Przylgowe",8,IF(Wycena!$C$14="Bezprzylgowe",6,0))</f>
        <v>-8</v>
      </c>
      <c r="GM55" t="s">
        <v>458</v>
      </c>
      <c r="GN55" t="s">
        <v>468</v>
      </c>
    </row>
    <row r="56" spans="1:196" x14ac:dyDescent="0.35">
      <c r="A56" t="s">
        <v>136</v>
      </c>
      <c r="B56">
        <v>20</v>
      </c>
      <c r="C56">
        <v>20</v>
      </c>
      <c r="D56">
        <v>34</v>
      </c>
      <c r="E56">
        <v>34</v>
      </c>
      <c r="F56">
        <v>44</v>
      </c>
      <c r="G56">
        <v>44</v>
      </c>
      <c r="H56">
        <f t="shared" si="10"/>
        <v>46</v>
      </c>
      <c r="I56">
        <f t="shared" si="11"/>
        <v>46</v>
      </c>
      <c r="Y56" t="s">
        <v>598</v>
      </c>
      <c r="Z56">
        <v>500</v>
      </c>
      <c r="AA56" t="str">
        <f t="shared" si="12"/>
        <v>RAL 2004</v>
      </c>
      <c r="AB56" t="str">
        <f>IF((VLOOKUP(Wycena!$C$7,Mapping!$Q$15:$R$20,2,0))="tak","",AA56)</f>
        <v>RAL 2004</v>
      </c>
      <c r="AC56" t="e" cm="1">
        <f t="array" ref="AC56">IF(ROWS($AB$3:AB56)&gt;(ROWS($AB$3:$AB$229)-COUNTBLANK($AB$3:$AB$229)),"",INDEX($AB$3:$AB$229,SMALL(IF($AB$3:$AB$229&lt;&gt;"",ROW($AB$3:$AB$229)-2),ROWS($AB$3:AB56))))</f>
        <v>#N/A</v>
      </c>
      <c r="AX56">
        <v>125</v>
      </c>
      <c r="AY56">
        <v>0</v>
      </c>
      <c r="AZ56">
        <v>0</v>
      </c>
      <c r="BA56">
        <f>IF(Wycena!$C$16=78,Mapping!AY56,AZ56)</f>
        <v>0</v>
      </c>
      <c r="BD56">
        <v>233</v>
      </c>
      <c r="BE56">
        <v>0</v>
      </c>
      <c r="BF56">
        <v>0</v>
      </c>
      <c r="BG56">
        <f>IF(Wycena!$C$16=78,Mapping!BE56,BF56)</f>
        <v>0</v>
      </c>
      <c r="CO56" t="s">
        <v>328</v>
      </c>
      <c r="CQ56">
        <v>0</v>
      </c>
      <c r="CR56">
        <f>-IF(Wycena!$C$14="Przylgowe",8,IF(Wycena!$C$14="Bezprzylgowe",6,0))</f>
        <v>-8</v>
      </c>
      <c r="CS56">
        <f>-IF(Wycena!$C$14="Przylgowe",8,IF(Wycena!$C$14="Bezprzylgowe",6,0))</f>
        <v>-8</v>
      </c>
      <c r="GM56" t="s">
        <v>458</v>
      </c>
      <c r="GN56" t="s">
        <v>475</v>
      </c>
    </row>
    <row r="57" spans="1:196" x14ac:dyDescent="0.35">
      <c r="A57" t="s">
        <v>138</v>
      </c>
      <c r="B57">
        <v>20</v>
      </c>
      <c r="C57">
        <v>20</v>
      </c>
      <c r="D57">
        <v>34</v>
      </c>
      <c r="E57">
        <v>34</v>
      </c>
      <c r="F57">
        <v>44</v>
      </c>
      <c r="G57">
        <v>44</v>
      </c>
      <c r="H57">
        <f t="shared" ref="H57:H69" si="13">F57+2</f>
        <v>46</v>
      </c>
      <c r="I57">
        <f t="shared" ref="I57:I69" si="14">G57+2</f>
        <v>46</v>
      </c>
      <c r="Y57" t="s">
        <v>599</v>
      </c>
      <c r="Z57">
        <v>500</v>
      </c>
      <c r="AA57" t="str">
        <f t="shared" si="12"/>
        <v>RAL 2005</v>
      </c>
      <c r="AB57" t="str">
        <f>IF((VLOOKUP(Wycena!$C$7,Mapping!$Q$15:$R$20,2,0))="tak","",AA57)</f>
        <v>RAL 2005</v>
      </c>
      <c r="AC57" t="e" cm="1">
        <f t="array" ref="AC57">IF(ROWS($AB$3:AB57)&gt;(ROWS($AB$3:$AB$229)-COUNTBLANK($AB$3:$AB$229)),"",INDEX($AB$3:$AB$229,SMALL(IF($AB$3:$AB$229&lt;&gt;"",ROW($AB$3:$AB$229)-2),ROWS($AB$3:AB57))))</f>
        <v>#N/A</v>
      </c>
      <c r="AX57">
        <v>126</v>
      </c>
      <c r="AY57">
        <v>0</v>
      </c>
      <c r="AZ57">
        <v>0</v>
      </c>
      <c r="BA57">
        <f>IF(Wycena!$C$16=78,Mapping!AY57,AZ57)</f>
        <v>0</v>
      </c>
      <c r="BD57">
        <v>234</v>
      </c>
      <c r="BE57">
        <v>0</v>
      </c>
      <c r="BF57">
        <v>0</v>
      </c>
      <c r="BG57">
        <f>IF(Wycena!$C$16=78,Mapping!BE57,BF57)</f>
        <v>0</v>
      </c>
      <c r="CO57" t="s">
        <v>329</v>
      </c>
      <c r="CQ57">
        <v>0</v>
      </c>
      <c r="CR57">
        <f>-IF(Wycena!$C$14="Przylgowe",8,IF(Wycena!$C$14="Bezprzylgowe",6,0))</f>
        <v>-8</v>
      </c>
      <c r="CS57">
        <f>-IF(Wycena!$C$14="Przylgowe",8,IF(Wycena!$C$14="Bezprzylgowe",6,0))</f>
        <v>-8</v>
      </c>
      <c r="GM57" t="s">
        <v>459</v>
      </c>
      <c r="GN57" t="s">
        <v>466</v>
      </c>
    </row>
    <row r="58" spans="1:196" x14ac:dyDescent="0.35">
      <c r="A58" t="s">
        <v>139</v>
      </c>
      <c r="B58">
        <v>20</v>
      </c>
      <c r="C58">
        <v>20</v>
      </c>
      <c r="D58">
        <v>34</v>
      </c>
      <c r="E58">
        <v>34</v>
      </c>
      <c r="F58">
        <v>44</v>
      </c>
      <c r="G58">
        <v>44</v>
      </c>
      <c r="H58">
        <f t="shared" si="13"/>
        <v>46</v>
      </c>
      <c r="I58">
        <f t="shared" si="14"/>
        <v>46</v>
      </c>
      <c r="Y58" t="s">
        <v>600</v>
      </c>
      <c r="Z58">
        <v>500</v>
      </c>
      <c r="AA58" t="str">
        <f t="shared" si="12"/>
        <v>RAL 2007</v>
      </c>
      <c r="AB58" t="str">
        <f>IF((VLOOKUP(Wycena!$C$7,Mapping!$Q$15:$R$20,2,0))="tak","",AA58)</f>
        <v>RAL 2007</v>
      </c>
      <c r="AC58" t="e" cm="1">
        <f t="array" ref="AC58">IF(ROWS($AB$3:AB58)&gt;(ROWS($AB$3:$AB$229)-COUNTBLANK($AB$3:$AB$229)),"",INDEX($AB$3:$AB$229,SMALL(IF($AB$3:$AB$229&lt;&gt;"",ROW($AB$3:$AB$229)-2),ROWS($AB$3:AB58))))</f>
        <v>#N/A</v>
      </c>
      <c r="AX58">
        <v>127</v>
      </c>
      <c r="AY58">
        <v>0</v>
      </c>
      <c r="AZ58">
        <v>0</v>
      </c>
      <c r="BA58">
        <f>IF(Wycena!$C$16=78,Mapping!AY58,AZ58)</f>
        <v>0</v>
      </c>
      <c r="BD58">
        <v>235</v>
      </c>
      <c r="BE58">
        <v>0</v>
      </c>
      <c r="BF58">
        <v>0</v>
      </c>
      <c r="BG58">
        <f>IF(Wycena!$C$16=78,Mapping!BE58,BF58)</f>
        <v>0</v>
      </c>
      <c r="CO58" t="s">
        <v>330</v>
      </c>
      <c r="CQ58">
        <v>0</v>
      </c>
      <c r="CR58">
        <f>-IF(Wycena!$C$14="Przylgowe",8,IF(Wycena!$C$14="Bezprzylgowe",6,0))</f>
        <v>-8</v>
      </c>
      <c r="CS58">
        <f>-IF(Wycena!$C$14="Przylgowe",8,IF(Wycena!$C$14="Bezprzylgowe",6,0))</f>
        <v>-8</v>
      </c>
      <c r="GM58" t="s">
        <v>459</v>
      </c>
      <c r="GN58" t="s">
        <v>468</v>
      </c>
    </row>
    <row r="59" spans="1:196" x14ac:dyDescent="0.35">
      <c r="A59" t="s">
        <v>140</v>
      </c>
      <c r="B59">
        <v>20</v>
      </c>
      <c r="C59">
        <v>20</v>
      </c>
      <c r="D59">
        <v>34</v>
      </c>
      <c r="E59">
        <v>34</v>
      </c>
      <c r="F59">
        <v>44</v>
      </c>
      <c r="G59">
        <v>44</v>
      </c>
      <c r="H59">
        <f t="shared" si="13"/>
        <v>46</v>
      </c>
      <c r="I59">
        <f t="shared" si="14"/>
        <v>46</v>
      </c>
      <c r="Y59" t="s">
        <v>601</v>
      </c>
      <c r="Z59">
        <v>500</v>
      </c>
      <c r="AA59" t="str">
        <f t="shared" si="12"/>
        <v>RAL 2008</v>
      </c>
      <c r="AB59" t="str">
        <f>IF((VLOOKUP(Wycena!$C$7,Mapping!$Q$15:$R$20,2,0))="tak","",AA59)</f>
        <v>RAL 2008</v>
      </c>
      <c r="AC59" t="e" cm="1">
        <f t="array" ref="AC59">IF(ROWS($AB$3:AB59)&gt;(ROWS($AB$3:$AB$229)-COUNTBLANK($AB$3:$AB$229)),"",INDEX($AB$3:$AB$229,SMALL(IF($AB$3:$AB$229&lt;&gt;"",ROW($AB$3:$AB$229)-2),ROWS($AB$3:AB59))))</f>
        <v>#N/A</v>
      </c>
      <c r="AX59">
        <v>128</v>
      </c>
      <c r="AY59">
        <v>0</v>
      </c>
      <c r="AZ59">
        <v>0</v>
      </c>
      <c r="BA59">
        <f>IF(Wycena!$C$16=78,Mapping!AY59,AZ59)</f>
        <v>0</v>
      </c>
      <c r="BD59">
        <v>236</v>
      </c>
      <c r="BE59">
        <v>0</v>
      </c>
      <c r="BF59">
        <v>0</v>
      </c>
      <c r="BG59">
        <f>IF(Wycena!$C$16=78,Mapping!BE59,BF59)</f>
        <v>0</v>
      </c>
      <c r="CO59" t="s">
        <v>331</v>
      </c>
      <c r="CQ59">
        <v>0</v>
      </c>
      <c r="CR59">
        <f>-IF(Wycena!$C$14="Przylgowe",8,IF(Wycena!$C$14="Bezprzylgowe",6,0))</f>
        <v>-8</v>
      </c>
      <c r="CS59">
        <f>-IF(Wycena!$C$14="Przylgowe",8,IF(Wycena!$C$14="Bezprzylgowe",6,0))</f>
        <v>-8</v>
      </c>
      <c r="GM59" t="s">
        <v>459</v>
      </c>
      <c r="GN59" t="s">
        <v>475</v>
      </c>
    </row>
    <row r="60" spans="1:196" x14ac:dyDescent="0.35">
      <c r="A60" t="s">
        <v>141</v>
      </c>
      <c r="B60">
        <v>20</v>
      </c>
      <c r="C60">
        <v>20</v>
      </c>
      <c r="D60">
        <v>34</v>
      </c>
      <c r="E60">
        <v>34</v>
      </c>
      <c r="F60">
        <v>44</v>
      </c>
      <c r="G60">
        <v>44</v>
      </c>
      <c r="H60">
        <f t="shared" si="13"/>
        <v>46</v>
      </c>
      <c r="I60">
        <f t="shared" si="14"/>
        <v>46</v>
      </c>
      <c r="Y60" t="s">
        <v>602</v>
      </c>
      <c r="Z60">
        <v>500</v>
      </c>
      <c r="AA60" t="str">
        <f t="shared" si="12"/>
        <v>RAL 2009</v>
      </c>
      <c r="AB60" t="str">
        <f>IF((VLOOKUP(Wycena!$C$7,Mapping!$Q$15:$R$20,2,0))="tak","",AA60)</f>
        <v>RAL 2009</v>
      </c>
      <c r="AC60" t="e" cm="1">
        <f t="array" ref="AC60">IF(ROWS($AB$3:AB60)&gt;(ROWS($AB$3:$AB$229)-COUNTBLANK($AB$3:$AB$229)),"",INDEX($AB$3:$AB$229,SMALL(IF($AB$3:$AB$229&lt;&gt;"",ROW($AB$3:$AB$229)-2),ROWS($AB$3:AB60))))</f>
        <v>#N/A</v>
      </c>
      <c r="AX60">
        <v>129</v>
      </c>
      <c r="AY60">
        <v>0</v>
      </c>
      <c r="AZ60">
        <v>0</v>
      </c>
      <c r="BA60">
        <f>IF(Wycena!$C$16=78,Mapping!AY60,AZ60)</f>
        <v>0</v>
      </c>
      <c r="BD60">
        <v>237</v>
      </c>
      <c r="BE60">
        <v>0</v>
      </c>
      <c r="BF60">
        <v>0</v>
      </c>
      <c r="BG60">
        <f>IF(Wycena!$C$16=78,Mapping!BE60,BF60)</f>
        <v>0</v>
      </c>
      <c r="CO60" t="s">
        <v>333</v>
      </c>
      <c r="CQ60">
        <v>0</v>
      </c>
      <c r="CR60">
        <f>-IF(Wycena!$C$14="Przylgowe",8,IF(Wycena!$C$14="Bezprzylgowe",6,0))</f>
        <v>-8</v>
      </c>
      <c r="CS60">
        <f>-IF(Wycena!$C$14="Przylgowe",8,IF(Wycena!$C$14="Bezprzylgowe",6,0))</f>
        <v>-8</v>
      </c>
      <c r="GM60" t="s">
        <v>450</v>
      </c>
      <c r="GN60" t="s">
        <v>466</v>
      </c>
    </row>
    <row r="61" spans="1:196" x14ac:dyDescent="0.35">
      <c r="A61" t="s">
        <v>142</v>
      </c>
      <c r="B61">
        <v>20</v>
      </c>
      <c r="C61">
        <v>20</v>
      </c>
      <c r="D61">
        <v>34</v>
      </c>
      <c r="E61">
        <v>34</v>
      </c>
      <c r="F61">
        <v>44</v>
      </c>
      <c r="G61">
        <v>44</v>
      </c>
      <c r="H61">
        <f t="shared" si="13"/>
        <v>46</v>
      </c>
      <c r="I61">
        <f t="shared" si="14"/>
        <v>46</v>
      </c>
      <c r="Y61" t="s">
        <v>603</v>
      </c>
      <c r="Z61">
        <v>500</v>
      </c>
      <c r="AA61" t="str">
        <f t="shared" si="12"/>
        <v>RAL 2010</v>
      </c>
      <c r="AB61" t="str">
        <f>IF((VLOOKUP(Wycena!$C$7,Mapping!$Q$15:$R$20,2,0))="tak","",AA61)</f>
        <v>RAL 2010</v>
      </c>
      <c r="AC61" t="e" cm="1">
        <f t="array" ref="AC61">IF(ROWS($AB$3:AB61)&gt;(ROWS($AB$3:$AB$229)-COUNTBLANK($AB$3:$AB$229)),"",INDEX($AB$3:$AB$229,SMALL(IF($AB$3:$AB$229&lt;&gt;"",ROW($AB$3:$AB$229)-2),ROWS($AB$3:AB61))))</f>
        <v>#N/A</v>
      </c>
      <c r="AX61">
        <v>130</v>
      </c>
      <c r="AY61">
        <v>0</v>
      </c>
      <c r="AZ61">
        <v>0</v>
      </c>
      <c r="BA61">
        <f>IF(Wycena!$C$16=78,Mapping!AY61,AZ61)</f>
        <v>0</v>
      </c>
      <c r="BD61">
        <v>238</v>
      </c>
      <c r="BE61">
        <v>0</v>
      </c>
      <c r="BF61">
        <v>0</v>
      </c>
      <c r="BG61">
        <f>IF(Wycena!$C$16=78,Mapping!BE61,BF61)</f>
        <v>0</v>
      </c>
      <c r="CO61" t="s">
        <v>332</v>
      </c>
      <c r="CQ61">
        <v>0</v>
      </c>
      <c r="CR61">
        <f>-IF(Wycena!$C$14="Przylgowe",8,IF(Wycena!$C$14="Bezprzylgowe",6,0))</f>
        <v>-8</v>
      </c>
      <c r="CS61">
        <f>-IF(Wycena!$C$14="Przylgowe",8,IF(Wycena!$C$14="Bezprzylgowe",6,0))</f>
        <v>-8</v>
      </c>
      <c r="GM61" t="s">
        <v>450</v>
      </c>
      <c r="GN61" t="s">
        <v>468</v>
      </c>
    </row>
    <row r="62" spans="1:196" x14ac:dyDescent="0.35">
      <c r="A62" t="s">
        <v>143</v>
      </c>
      <c r="B62">
        <v>20</v>
      </c>
      <c r="C62">
        <v>20</v>
      </c>
      <c r="D62">
        <v>34</v>
      </c>
      <c r="E62">
        <v>34</v>
      </c>
      <c r="F62">
        <v>44</v>
      </c>
      <c r="G62">
        <v>44</v>
      </c>
      <c r="H62">
        <f t="shared" si="13"/>
        <v>46</v>
      </c>
      <c r="I62">
        <f t="shared" si="14"/>
        <v>46</v>
      </c>
      <c r="Y62" t="s">
        <v>604</v>
      </c>
      <c r="Z62">
        <v>500</v>
      </c>
      <c r="AA62" t="str">
        <f t="shared" si="12"/>
        <v>RAL 2011</v>
      </c>
      <c r="AB62" t="str">
        <f>IF((VLOOKUP(Wycena!$C$7,Mapping!$Q$15:$R$20,2,0))="tak","",AA62)</f>
        <v>RAL 2011</v>
      </c>
      <c r="AC62" t="e" cm="1">
        <f t="array" ref="AC62">IF(ROWS($AB$3:AB62)&gt;(ROWS($AB$3:$AB$229)-COUNTBLANK($AB$3:$AB$229)),"",INDEX($AB$3:$AB$229,SMALL(IF($AB$3:$AB$229&lt;&gt;"",ROW($AB$3:$AB$229)-2),ROWS($AB$3:AB62))))</f>
        <v>#N/A</v>
      </c>
      <c r="AX62">
        <v>131</v>
      </c>
      <c r="AY62">
        <v>1</v>
      </c>
      <c r="AZ62">
        <v>0</v>
      </c>
      <c r="BA62">
        <f>IF(Wycena!$C$16=78,Mapping!AY62,AZ62)</f>
        <v>0</v>
      </c>
      <c r="BD62">
        <v>239</v>
      </c>
      <c r="BE62">
        <v>0</v>
      </c>
      <c r="BF62">
        <v>0</v>
      </c>
      <c r="BG62">
        <f>IF(Wycena!$C$16=78,Mapping!BE62,BF62)</f>
        <v>0</v>
      </c>
      <c r="GM62" t="s">
        <v>450</v>
      </c>
      <c r="GN62" t="s">
        <v>469</v>
      </c>
    </row>
    <row r="63" spans="1:196" x14ac:dyDescent="0.35">
      <c r="A63" t="s">
        <v>144</v>
      </c>
      <c r="B63">
        <v>20</v>
      </c>
      <c r="C63">
        <v>20</v>
      </c>
      <c r="D63">
        <v>34</v>
      </c>
      <c r="E63">
        <v>34</v>
      </c>
      <c r="F63">
        <v>44</v>
      </c>
      <c r="G63">
        <v>44</v>
      </c>
      <c r="H63">
        <f t="shared" si="13"/>
        <v>46</v>
      </c>
      <c r="I63">
        <f t="shared" si="14"/>
        <v>46</v>
      </c>
      <c r="Y63" t="s">
        <v>605</v>
      </c>
      <c r="Z63">
        <v>500</v>
      </c>
      <c r="AA63" t="str">
        <f t="shared" si="12"/>
        <v>RAL 2012</v>
      </c>
      <c r="AB63" t="str">
        <f>IF((VLOOKUP(Wycena!$C$7,Mapping!$Q$15:$R$20,2,0))="tak","",AA63)</f>
        <v>RAL 2012</v>
      </c>
      <c r="AC63" t="e" cm="1">
        <f t="array" ref="AC63">IF(ROWS($AB$3:AB63)&gt;(ROWS($AB$3:$AB$229)-COUNTBLANK($AB$3:$AB$229)),"",INDEX($AB$3:$AB$229,SMALL(IF($AB$3:$AB$229&lt;&gt;"",ROW($AB$3:$AB$229)-2),ROWS($AB$3:AB63))))</f>
        <v>#N/A</v>
      </c>
      <c r="AX63">
        <v>132</v>
      </c>
      <c r="AY63">
        <v>1</v>
      </c>
      <c r="AZ63">
        <v>0</v>
      </c>
      <c r="BA63">
        <f>IF(Wycena!$C$16=78,Mapping!AY63,AZ63)</f>
        <v>0</v>
      </c>
      <c r="BD63">
        <v>240</v>
      </c>
      <c r="BE63">
        <v>0</v>
      </c>
      <c r="BF63">
        <v>0</v>
      </c>
      <c r="BG63">
        <f>IF(Wycena!$C$16=78,Mapping!BE63,BF63)</f>
        <v>0</v>
      </c>
      <c r="GM63" t="s">
        <v>451</v>
      </c>
      <c r="GN63" t="s">
        <v>466</v>
      </c>
    </row>
    <row r="64" spans="1:196" x14ac:dyDescent="0.35">
      <c r="A64" t="s">
        <v>145</v>
      </c>
      <c r="B64">
        <v>20</v>
      </c>
      <c r="C64">
        <v>20</v>
      </c>
      <c r="D64">
        <v>34</v>
      </c>
      <c r="E64">
        <v>34</v>
      </c>
      <c r="F64">
        <v>44</v>
      </c>
      <c r="G64">
        <v>44</v>
      </c>
      <c r="H64">
        <f t="shared" si="13"/>
        <v>46</v>
      </c>
      <c r="I64">
        <f t="shared" si="14"/>
        <v>46</v>
      </c>
      <c r="Y64" t="s">
        <v>606</v>
      </c>
      <c r="Z64">
        <v>500</v>
      </c>
      <c r="AA64" t="str">
        <f t="shared" si="12"/>
        <v>RAL 2013</v>
      </c>
      <c r="AB64" t="str">
        <f>IF((VLOOKUP(Wycena!$C$7,Mapping!$Q$15:$R$20,2,0))="tak","",AA64)</f>
        <v>RAL 2013</v>
      </c>
      <c r="AC64" t="e" cm="1">
        <f t="array" ref="AC64">IF(ROWS($AB$3:AB64)&gt;(ROWS($AB$3:$AB$229)-COUNTBLANK($AB$3:$AB$229)),"",INDEX($AB$3:$AB$229,SMALL(IF($AB$3:$AB$229&lt;&gt;"",ROW($AB$3:$AB$229)-2),ROWS($AB$3:AB64))))</f>
        <v>#N/A</v>
      </c>
      <c r="AX64">
        <v>133</v>
      </c>
      <c r="AY64">
        <v>1</v>
      </c>
      <c r="AZ64">
        <v>0</v>
      </c>
      <c r="BA64">
        <f>IF(Wycena!$C$16=78,Mapping!AY64,AZ64)</f>
        <v>0</v>
      </c>
      <c r="BD64">
        <v>241</v>
      </c>
      <c r="BE64">
        <v>0</v>
      </c>
      <c r="BF64">
        <v>0</v>
      </c>
      <c r="BG64">
        <f>IF(Wycena!$C$16=78,Mapping!BE64,BF64)</f>
        <v>0</v>
      </c>
      <c r="GM64" t="s">
        <v>451</v>
      </c>
      <c r="GN64" t="s">
        <v>468</v>
      </c>
    </row>
    <row r="65" spans="1:196" x14ac:dyDescent="0.35">
      <c r="A65" t="s">
        <v>828</v>
      </c>
      <c r="B65">
        <v>20</v>
      </c>
      <c r="C65">
        <v>20</v>
      </c>
      <c r="D65">
        <v>34</v>
      </c>
      <c r="E65">
        <v>34</v>
      </c>
      <c r="F65">
        <v>44</v>
      </c>
      <c r="G65">
        <v>44</v>
      </c>
      <c r="H65">
        <f t="shared" si="13"/>
        <v>46</v>
      </c>
      <c r="I65">
        <f t="shared" si="14"/>
        <v>46</v>
      </c>
      <c r="Y65" t="s">
        <v>607</v>
      </c>
      <c r="Z65">
        <v>500</v>
      </c>
      <c r="AA65" t="str">
        <f t="shared" si="12"/>
        <v>RAL 3000</v>
      </c>
      <c r="AB65" t="str">
        <f>IF((VLOOKUP(Wycena!$C$7,Mapping!$Q$15:$R$20,2,0))="tak","",AA65)</f>
        <v>RAL 3000</v>
      </c>
      <c r="AC65" t="e" cm="1">
        <f t="array" ref="AC65">IF(ROWS($AB$3:AB65)&gt;(ROWS($AB$3:$AB$229)-COUNTBLANK($AB$3:$AB$229)),"",INDEX($AB$3:$AB$229,SMALL(IF($AB$3:$AB$229&lt;&gt;"",ROW($AB$3:$AB$229)-2),ROWS($AB$3:AB65))))</f>
        <v>#N/A</v>
      </c>
      <c r="AX65">
        <v>134</v>
      </c>
      <c r="AY65">
        <v>1</v>
      </c>
      <c r="AZ65">
        <v>0</v>
      </c>
      <c r="BA65">
        <f>IF(Wycena!$C$16=78,Mapping!AY65,AZ65)</f>
        <v>0</v>
      </c>
      <c r="BD65">
        <v>242</v>
      </c>
      <c r="BE65">
        <v>0</v>
      </c>
      <c r="BF65">
        <v>0</v>
      </c>
      <c r="BG65">
        <f>IF(Wycena!$C$16=78,Mapping!BE65,BF65)</f>
        <v>0</v>
      </c>
      <c r="GM65" t="s">
        <v>451</v>
      </c>
      <c r="GN65" t="s">
        <v>469</v>
      </c>
    </row>
    <row r="66" spans="1:196" x14ac:dyDescent="0.35">
      <c r="A66" t="s">
        <v>146</v>
      </c>
      <c r="B66">
        <v>20</v>
      </c>
      <c r="C66">
        <v>20</v>
      </c>
      <c r="D66">
        <v>34</v>
      </c>
      <c r="E66">
        <v>34</v>
      </c>
      <c r="F66">
        <v>44</v>
      </c>
      <c r="G66">
        <v>44</v>
      </c>
      <c r="H66">
        <f t="shared" si="13"/>
        <v>46</v>
      </c>
      <c r="I66">
        <f t="shared" si="14"/>
        <v>46</v>
      </c>
      <c r="Y66" t="s">
        <v>608</v>
      </c>
      <c r="Z66">
        <v>500</v>
      </c>
      <c r="AA66" t="str">
        <f t="shared" si="12"/>
        <v>RAL 3001</v>
      </c>
      <c r="AB66" t="str">
        <f>IF((VLOOKUP(Wycena!$C$7,Mapping!$Q$15:$R$20,2,0))="tak","",AA66)</f>
        <v>RAL 3001</v>
      </c>
      <c r="AC66" t="e" cm="1">
        <f t="array" ref="AC66">IF(ROWS($AB$3:AB66)&gt;(ROWS($AB$3:$AB$229)-COUNTBLANK($AB$3:$AB$229)),"",INDEX($AB$3:$AB$229,SMALL(IF($AB$3:$AB$229&lt;&gt;"",ROW($AB$3:$AB$229)-2),ROWS($AB$3:AB66))))</f>
        <v>#N/A</v>
      </c>
      <c r="AX66">
        <v>135</v>
      </c>
      <c r="AY66">
        <v>1</v>
      </c>
      <c r="AZ66">
        <v>1</v>
      </c>
      <c r="BA66">
        <f>IF(Wycena!$C$16=78,Mapping!AY66,AZ66)</f>
        <v>1</v>
      </c>
      <c r="BD66">
        <v>243</v>
      </c>
      <c r="BE66">
        <v>0</v>
      </c>
      <c r="BF66">
        <v>0</v>
      </c>
      <c r="BG66">
        <f>IF(Wycena!$C$16=78,Mapping!BE66,BF66)</f>
        <v>0</v>
      </c>
      <c r="GM66" t="s">
        <v>452</v>
      </c>
      <c r="GN66" t="s">
        <v>466</v>
      </c>
    </row>
    <row r="67" spans="1:196" x14ac:dyDescent="0.35">
      <c r="A67" t="s">
        <v>147</v>
      </c>
      <c r="B67">
        <v>20</v>
      </c>
      <c r="C67">
        <v>20</v>
      </c>
      <c r="D67">
        <v>34</v>
      </c>
      <c r="E67">
        <v>34</v>
      </c>
      <c r="F67">
        <v>44</v>
      </c>
      <c r="G67">
        <v>44</v>
      </c>
      <c r="H67">
        <f t="shared" si="13"/>
        <v>46</v>
      </c>
      <c r="I67">
        <f t="shared" si="14"/>
        <v>46</v>
      </c>
      <c r="Y67" t="s">
        <v>609</v>
      </c>
      <c r="Z67">
        <v>500</v>
      </c>
      <c r="AA67" t="str">
        <f t="shared" si="12"/>
        <v>RAL 3002</v>
      </c>
      <c r="AB67" t="str">
        <f>IF((VLOOKUP(Wycena!$C$7,Mapping!$Q$15:$R$20,2,0))="tak","",AA67)</f>
        <v>RAL 3002</v>
      </c>
      <c r="AC67" t="e" cm="1">
        <f t="array" ref="AC67">IF(ROWS($AB$3:AB67)&gt;(ROWS($AB$3:$AB$229)-COUNTBLANK($AB$3:$AB$229)),"",INDEX($AB$3:$AB$229,SMALL(IF($AB$3:$AB$229&lt;&gt;"",ROW($AB$3:$AB$229)-2),ROWS($AB$3:AB67))))</f>
        <v>#N/A</v>
      </c>
      <c r="AX67">
        <v>136</v>
      </c>
      <c r="AY67">
        <v>1</v>
      </c>
      <c r="AZ67">
        <v>1</v>
      </c>
      <c r="BA67">
        <f>IF(Wycena!$C$16=78,Mapping!AY67,AZ67)</f>
        <v>1</v>
      </c>
      <c r="BD67">
        <v>244</v>
      </c>
      <c r="BE67">
        <v>0</v>
      </c>
      <c r="BF67">
        <v>0</v>
      </c>
      <c r="BG67">
        <f>IF(Wycena!$C$16=78,Mapping!BE67,BF67)</f>
        <v>0</v>
      </c>
      <c r="GM67" t="s">
        <v>452</v>
      </c>
      <c r="GN67" t="s">
        <v>468</v>
      </c>
    </row>
    <row r="68" spans="1:196" x14ac:dyDescent="0.35">
      <c r="A68" t="s">
        <v>148</v>
      </c>
      <c r="B68">
        <v>20</v>
      </c>
      <c r="C68">
        <v>20</v>
      </c>
      <c r="D68">
        <v>34</v>
      </c>
      <c r="E68">
        <v>34</v>
      </c>
      <c r="F68">
        <v>44</v>
      </c>
      <c r="G68">
        <v>44</v>
      </c>
      <c r="H68">
        <f t="shared" si="13"/>
        <v>46</v>
      </c>
      <c r="I68">
        <f t="shared" si="14"/>
        <v>46</v>
      </c>
      <c r="Y68" t="s">
        <v>610</v>
      </c>
      <c r="Z68">
        <v>500</v>
      </c>
      <c r="AA68" t="str">
        <f t="shared" si="12"/>
        <v>RAL 3003</v>
      </c>
      <c r="AB68" t="str">
        <f>IF((VLOOKUP(Wycena!$C$7,Mapping!$Q$15:$R$20,2,0))="tak","",AA68)</f>
        <v>RAL 3003</v>
      </c>
      <c r="AC68" t="e" cm="1">
        <f t="array" ref="AC68">IF(ROWS($AB$3:AB68)&gt;(ROWS($AB$3:$AB$229)-COUNTBLANK($AB$3:$AB$229)),"",INDEX($AB$3:$AB$229,SMALL(IF($AB$3:$AB$229&lt;&gt;"",ROW($AB$3:$AB$229)-2),ROWS($AB$3:AB68))))</f>
        <v>#N/A</v>
      </c>
      <c r="AX68">
        <v>137</v>
      </c>
      <c r="AY68">
        <v>1</v>
      </c>
      <c r="AZ68">
        <v>1</v>
      </c>
      <c r="BA68">
        <f>IF(Wycena!$C$16=78,Mapping!AY68,AZ68)</f>
        <v>1</v>
      </c>
      <c r="BD68">
        <v>245</v>
      </c>
      <c r="BE68">
        <v>0</v>
      </c>
      <c r="BF68">
        <v>0</v>
      </c>
      <c r="BG68">
        <f>IF(Wycena!$C$16=78,Mapping!BE68,BF68)</f>
        <v>0</v>
      </c>
      <c r="GM68" t="s">
        <v>452</v>
      </c>
      <c r="GN68" t="s">
        <v>469</v>
      </c>
    </row>
    <row r="69" spans="1:196" x14ac:dyDescent="0.35">
      <c r="A69" t="s">
        <v>149</v>
      </c>
      <c r="B69">
        <v>20</v>
      </c>
      <c r="C69">
        <v>20</v>
      </c>
      <c r="D69">
        <v>34</v>
      </c>
      <c r="E69">
        <v>34</v>
      </c>
      <c r="F69">
        <v>44</v>
      </c>
      <c r="G69">
        <v>44</v>
      </c>
      <c r="H69">
        <f t="shared" si="13"/>
        <v>46</v>
      </c>
      <c r="I69">
        <f t="shared" si="14"/>
        <v>46</v>
      </c>
      <c r="Y69" t="s">
        <v>611</v>
      </c>
      <c r="Z69">
        <v>500</v>
      </c>
      <c r="AA69" t="str">
        <f t="shared" ref="AA69:AA132" si="15">Y69</f>
        <v>RAL 3004</v>
      </c>
      <c r="AB69" t="str">
        <f>IF((VLOOKUP(Wycena!$C$7,Mapping!$Q$15:$R$20,2,0))="tak","",AA69)</f>
        <v>RAL 3004</v>
      </c>
      <c r="AC69" t="e" cm="1">
        <f t="array" ref="AC69">IF(ROWS($AB$3:AB69)&gt;(ROWS($AB$3:$AB$229)-COUNTBLANK($AB$3:$AB$229)),"",INDEX($AB$3:$AB$229,SMALL(IF($AB$3:$AB$229&lt;&gt;"",ROW($AB$3:$AB$229)-2),ROWS($AB$3:AB69))))</f>
        <v>#N/A</v>
      </c>
      <c r="AX69">
        <v>138</v>
      </c>
      <c r="AY69">
        <v>1</v>
      </c>
      <c r="AZ69">
        <v>1</v>
      </c>
      <c r="BA69">
        <f>IF(Wycena!$C$16=78,Mapping!AY69,AZ69)</f>
        <v>1</v>
      </c>
      <c r="BD69">
        <v>246</v>
      </c>
      <c r="BE69">
        <v>0</v>
      </c>
      <c r="BF69">
        <v>0</v>
      </c>
      <c r="BG69">
        <f>IF(Wycena!$C$16=78,Mapping!BE69,BF69)</f>
        <v>0</v>
      </c>
      <c r="GM69" t="s">
        <v>453</v>
      </c>
      <c r="GN69" t="s">
        <v>466</v>
      </c>
    </row>
    <row r="70" spans="1:196" x14ac:dyDescent="0.35">
      <c r="A70" t="s">
        <v>150</v>
      </c>
      <c r="B70">
        <v>20</v>
      </c>
      <c r="C70">
        <v>20</v>
      </c>
      <c r="D70" t="s">
        <v>263</v>
      </c>
      <c r="E70" t="s">
        <v>263</v>
      </c>
      <c r="F70">
        <v>20</v>
      </c>
      <c r="G70">
        <v>28</v>
      </c>
      <c r="H70">
        <v>36</v>
      </c>
      <c r="I70">
        <v>36</v>
      </c>
      <c r="Y70" t="s">
        <v>612</v>
      </c>
      <c r="Z70">
        <v>500</v>
      </c>
      <c r="AA70" t="str">
        <f t="shared" si="15"/>
        <v>RAL 3005</v>
      </c>
      <c r="AB70" t="str">
        <f>IF((VLOOKUP(Wycena!$C$7,Mapping!$Q$15:$R$20,2,0))="tak","",AA70)</f>
        <v>RAL 3005</v>
      </c>
      <c r="AC70" t="e" cm="1">
        <f t="array" ref="AC70">IF(ROWS($AB$3:AB70)&gt;(ROWS($AB$3:$AB$229)-COUNTBLANK($AB$3:$AB$229)),"",INDEX($AB$3:$AB$229,SMALL(IF($AB$3:$AB$229&lt;&gt;"",ROW($AB$3:$AB$229)-2),ROWS($AB$3:AB70))))</f>
        <v>#N/A</v>
      </c>
      <c r="AX70">
        <v>139</v>
      </c>
      <c r="AY70">
        <v>1</v>
      </c>
      <c r="AZ70">
        <v>1</v>
      </c>
      <c r="BA70">
        <f>IF(Wycena!$C$16=78,Mapping!AY70,AZ70)</f>
        <v>1</v>
      </c>
      <c r="BD70">
        <v>247</v>
      </c>
      <c r="BE70">
        <v>0</v>
      </c>
      <c r="BF70">
        <v>0</v>
      </c>
      <c r="BG70">
        <f>IF(Wycena!$C$16=78,Mapping!BE70,BF70)</f>
        <v>0</v>
      </c>
      <c r="GM70" t="s">
        <v>453</v>
      </c>
      <c r="GN70" t="s">
        <v>468</v>
      </c>
    </row>
    <row r="71" spans="1:196" x14ac:dyDescent="0.35">
      <c r="A71" t="s">
        <v>153</v>
      </c>
      <c r="B71">
        <v>20</v>
      </c>
      <c r="C71">
        <v>20</v>
      </c>
      <c r="D71" t="s">
        <v>263</v>
      </c>
      <c r="E71" t="s">
        <v>263</v>
      </c>
      <c r="F71">
        <v>20</v>
      </c>
      <c r="G71">
        <v>28</v>
      </c>
      <c r="H71">
        <v>36</v>
      </c>
      <c r="I71">
        <v>36</v>
      </c>
      <c r="Y71" t="s">
        <v>613</v>
      </c>
      <c r="Z71">
        <v>500</v>
      </c>
      <c r="AA71" t="str">
        <f t="shared" si="15"/>
        <v>RAL 3007</v>
      </c>
      <c r="AB71" t="str">
        <f>IF((VLOOKUP(Wycena!$C$7,Mapping!$Q$15:$R$20,2,0))="tak","",AA71)</f>
        <v>RAL 3007</v>
      </c>
      <c r="AC71" t="e" cm="1">
        <f t="array" ref="AC71">IF(ROWS($AB$3:AB71)&gt;(ROWS($AB$3:$AB$229)-COUNTBLANK($AB$3:$AB$229)),"",INDEX($AB$3:$AB$229,SMALL(IF($AB$3:$AB$229&lt;&gt;"",ROW($AB$3:$AB$229)-2),ROWS($AB$3:AB71))))</f>
        <v>#N/A</v>
      </c>
      <c r="AX71">
        <v>140</v>
      </c>
      <c r="AY71">
        <v>1</v>
      </c>
      <c r="AZ71">
        <v>1</v>
      </c>
      <c r="BA71">
        <f>IF(Wycena!$C$16=78,Mapping!AY71,AZ71)</f>
        <v>1</v>
      </c>
      <c r="BD71">
        <v>248</v>
      </c>
      <c r="BE71">
        <v>0</v>
      </c>
      <c r="BF71">
        <v>0</v>
      </c>
      <c r="BG71">
        <f>IF(Wycena!$C$16=78,Mapping!BE71,BF71)</f>
        <v>0</v>
      </c>
      <c r="GM71" t="s">
        <v>453</v>
      </c>
      <c r="GN71" t="s">
        <v>469</v>
      </c>
    </row>
    <row r="72" spans="1:196" x14ac:dyDescent="0.35">
      <c r="A72" t="s">
        <v>154</v>
      </c>
      <c r="B72">
        <v>20</v>
      </c>
      <c r="C72">
        <v>20</v>
      </c>
      <c r="D72" t="s">
        <v>263</v>
      </c>
      <c r="E72" t="s">
        <v>263</v>
      </c>
      <c r="F72">
        <v>20</v>
      </c>
      <c r="G72">
        <v>48</v>
      </c>
      <c r="H72">
        <v>48</v>
      </c>
      <c r="I72">
        <v>48</v>
      </c>
      <c r="Y72" t="s">
        <v>614</v>
      </c>
      <c r="Z72">
        <v>500</v>
      </c>
      <c r="AA72" t="str">
        <f t="shared" si="15"/>
        <v>RAL 3009</v>
      </c>
      <c r="AB72" t="str">
        <f>IF((VLOOKUP(Wycena!$C$7,Mapping!$Q$15:$R$20,2,0))="tak","",AA72)</f>
        <v>RAL 3009</v>
      </c>
      <c r="AC72" t="e" cm="1">
        <f t="array" ref="AC72">IF(ROWS($AB$3:AB72)&gt;(ROWS($AB$3:$AB$229)-COUNTBLANK($AB$3:$AB$229)),"",INDEX($AB$3:$AB$229,SMALL(IF($AB$3:$AB$229&lt;&gt;"",ROW($AB$3:$AB$229)-2),ROWS($AB$3:AB72))))</f>
        <v>#N/A</v>
      </c>
      <c r="AX72">
        <v>141</v>
      </c>
      <c r="AY72">
        <v>1</v>
      </c>
      <c r="AZ72">
        <v>1</v>
      </c>
      <c r="BA72">
        <f>IF(Wycena!$C$16=78,Mapping!AY72,AZ72)</f>
        <v>1</v>
      </c>
      <c r="BD72">
        <v>249</v>
      </c>
      <c r="BE72">
        <v>0</v>
      </c>
      <c r="BF72">
        <v>0</v>
      </c>
      <c r="BG72">
        <f>IF(Wycena!$C$16=78,Mapping!BE72,BF72)</f>
        <v>0</v>
      </c>
      <c r="GM72" t="s">
        <v>448</v>
      </c>
      <c r="GN72" t="s">
        <v>466</v>
      </c>
    </row>
    <row r="73" spans="1:196" x14ac:dyDescent="0.35">
      <c r="A73" t="s">
        <v>155</v>
      </c>
      <c r="B73">
        <v>20</v>
      </c>
      <c r="C73">
        <v>20</v>
      </c>
      <c r="D73" t="s">
        <v>263</v>
      </c>
      <c r="E73" t="s">
        <v>263</v>
      </c>
      <c r="F73">
        <v>20</v>
      </c>
      <c r="G73">
        <v>28</v>
      </c>
      <c r="H73">
        <v>36</v>
      </c>
      <c r="I73">
        <v>36</v>
      </c>
      <c r="Y73" t="s">
        <v>615</v>
      </c>
      <c r="Z73">
        <v>500</v>
      </c>
      <c r="AA73" t="str">
        <f t="shared" si="15"/>
        <v>RAL 3011</v>
      </c>
      <c r="AB73" t="str">
        <f>IF((VLOOKUP(Wycena!$C$7,Mapping!$Q$15:$R$20,2,0))="tak","",AA73)</f>
        <v>RAL 3011</v>
      </c>
      <c r="AC73" t="e" cm="1">
        <f t="array" ref="AC73">IF(ROWS($AB$3:AB73)&gt;(ROWS($AB$3:$AB$229)-COUNTBLANK($AB$3:$AB$229)),"",INDEX($AB$3:$AB$229,SMALL(IF($AB$3:$AB$229&lt;&gt;"",ROW($AB$3:$AB$229)-2),ROWS($AB$3:AB73))))</f>
        <v>#N/A</v>
      </c>
      <c r="AX73">
        <v>142</v>
      </c>
      <c r="AY73">
        <v>1</v>
      </c>
      <c r="AZ73">
        <v>1</v>
      </c>
      <c r="BA73">
        <f>IF(Wycena!$C$16=78,Mapping!AY73,AZ73)</f>
        <v>1</v>
      </c>
      <c r="BD73">
        <v>250</v>
      </c>
      <c r="BE73">
        <v>0</v>
      </c>
      <c r="BF73">
        <v>0</v>
      </c>
      <c r="BG73">
        <f>IF(Wycena!$C$16=78,Mapping!BE73,BF73)</f>
        <v>0</v>
      </c>
      <c r="GM73" t="s">
        <v>448</v>
      </c>
      <c r="GN73" t="s">
        <v>468</v>
      </c>
    </row>
    <row r="74" spans="1:196" x14ac:dyDescent="0.35">
      <c r="A74" t="s">
        <v>156</v>
      </c>
      <c r="B74">
        <v>20</v>
      </c>
      <c r="C74">
        <v>20</v>
      </c>
      <c r="D74" t="s">
        <v>263</v>
      </c>
      <c r="E74" t="s">
        <v>263</v>
      </c>
      <c r="F74">
        <v>20</v>
      </c>
      <c r="G74">
        <v>48</v>
      </c>
      <c r="H74">
        <v>48</v>
      </c>
      <c r="I74">
        <v>48</v>
      </c>
      <c r="Y74" t="s">
        <v>616</v>
      </c>
      <c r="Z74">
        <v>500</v>
      </c>
      <c r="AA74" t="str">
        <f t="shared" si="15"/>
        <v>RAL 3012</v>
      </c>
      <c r="AB74" t="str">
        <f>IF((VLOOKUP(Wycena!$C$7,Mapping!$Q$15:$R$20,2,0))="tak","",AA74)</f>
        <v>RAL 3012</v>
      </c>
      <c r="AC74" t="e" cm="1">
        <f t="array" ref="AC74">IF(ROWS($AB$3:AB74)&gt;(ROWS($AB$3:$AB$229)-COUNTBLANK($AB$3:$AB$229)),"",INDEX($AB$3:$AB$229,SMALL(IF($AB$3:$AB$229&lt;&gt;"",ROW($AB$3:$AB$229)-2),ROWS($AB$3:AB74))))</f>
        <v>#N/A</v>
      </c>
      <c r="AX74">
        <v>143</v>
      </c>
      <c r="AY74">
        <v>1</v>
      </c>
      <c r="AZ74">
        <v>1</v>
      </c>
      <c r="BA74">
        <f>IF(Wycena!$C$16=78,Mapping!AY74,AZ74)</f>
        <v>1</v>
      </c>
      <c r="BD74">
        <v>251</v>
      </c>
      <c r="BE74">
        <v>1</v>
      </c>
      <c r="BF74">
        <v>0</v>
      </c>
      <c r="BG74">
        <f>IF(Wycena!$C$16=78,Mapping!BE74,BF74)</f>
        <v>0</v>
      </c>
      <c r="GM74" t="s">
        <v>448</v>
      </c>
      <c r="GN74" t="s">
        <v>469</v>
      </c>
    </row>
    <row r="75" spans="1:196" x14ac:dyDescent="0.35">
      <c r="A75" t="s">
        <v>157</v>
      </c>
      <c r="B75">
        <v>20</v>
      </c>
      <c r="C75">
        <v>20</v>
      </c>
      <c r="D75" t="s">
        <v>263</v>
      </c>
      <c r="E75" t="s">
        <v>263</v>
      </c>
      <c r="F75">
        <v>20</v>
      </c>
      <c r="G75">
        <v>48</v>
      </c>
      <c r="H75">
        <v>48</v>
      </c>
      <c r="I75">
        <v>48</v>
      </c>
      <c r="Y75" t="s">
        <v>617</v>
      </c>
      <c r="Z75">
        <v>500</v>
      </c>
      <c r="AA75" t="str">
        <f t="shared" si="15"/>
        <v>RAL 3013</v>
      </c>
      <c r="AB75" t="str">
        <f>IF((VLOOKUP(Wycena!$C$7,Mapping!$Q$15:$R$20,2,0))="tak","",AA75)</f>
        <v>RAL 3013</v>
      </c>
      <c r="AC75" t="e" cm="1">
        <f t="array" ref="AC75">IF(ROWS($AB$3:AB75)&gt;(ROWS($AB$3:$AB$229)-COUNTBLANK($AB$3:$AB$229)),"",INDEX($AB$3:$AB$229,SMALL(IF($AB$3:$AB$229&lt;&gt;"",ROW($AB$3:$AB$229)-2),ROWS($AB$3:AB75))))</f>
        <v>#N/A</v>
      </c>
      <c r="AX75">
        <v>144</v>
      </c>
      <c r="AY75">
        <v>1</v>
      </c>
      <c r="AZ75">
        <v>1</v>
      </c>
      <c r="BA75">
        <f>IF(Wycena!$C$16=78,Mapping!AY75,AZ75)</f>
        <v>1</v>
      </c>
      <c r="BD75">
        <v>252</v>
      </c>
      <c r="BE75">
        <v>1</v>
      </c>
      <c r="BF75">
        <v>0</v>
      </c>
      <c r="BG75">
        <f>IF(Wycena!$C$16=78,Mapping!BE75,BF75)</f>
        <v>0</v>
      </c>
      <c r="GM75" t="s">
        <v>448</v>
      </c>
      <c r="GN75" t="s">
        <v>466</v>
      </c>
    </row>
    <row r="76" spans="1:196" x14ac:dyDescent="0.35">
      <c r="A76" t="s">
        <v>158</v>
      </c>
      <c r="B76">
        <v>20</v>
      </c>
      <c r="C76">
        <v>20</v>
      </c>
      <c r="D76" t="s">
        <v>263</v>
      </c>
      <c r="E76" t="s">
        <v>263</v>
      </c>
      <c r="F76">
        <v>20</v>
      </c>
      <c r="G76">
        <v>28</v>
      </c>
      <c r="H76">
        <v>36</v>
      </c>
      <c r="I76">
        <v>36</v>
      </c>
      <c r="Y76" t="s">
        <v>618</v>
      </c>
      <c r="Z76">
        <v>500</v>
      </c>
      <c r="AA76" t="str">
        <f t="shared" si="15"/>
        <v>RAL 3014</v>
      </c>
      <c r="AB76" t="str">
        <f>IF((VLOOKUP(Wycena!$C$7,Mapping!$Q$15:$R$20,2,0))="tak","",AA76)</f>
        <v>RAL 3014</v>
      </c>
      <c r="AC76" t="e" cm="1">
        <f t="array" ref="AC76">IF(ROWS($AB$3:AB76)&gt;(ROWS($AB$3:$AB$229)-COUNTBLANK($AB$3:$AB$229)),"",INDEX($AB$3:$AB$229,SMALL(IF($AB$3:$AB$229&lt;&gt;"",ROW($AB$3:$AB$229)-2),ROWS($AB$3:AB76))))</f>
        <v>#N/A</v>
      </c>
      <c r="AX76">
        <v>145</v>
      </c>
      <c r="AY76">
        <v>1</v>
      </c>
      <c r="AZ76">
        <v>1</v>
      </c>
      <c r="BA76">
        <f>IF(Wycena!$C$16=78,Mapping!AY76,AZ76)</f>
        <v>1</v>
      </c>
      <c r="BD76">
        <v>253</v>
      </c>
      <c r="BE76">
        <v>1</v>
      </c>
      <c r="BF76">
        <v>1</v>
      </c>
      <c r="BG76">
        <f>IF(Wycena!$C$16=78,Mapping!BE76,BF76)</f>
        <v>1</v>
      </c>
      <c r="GM76" t="s">
        <v>448</v>
      </c>
      <c r="GN76" t="s">
        <v>468</v>
      </c>
    </row>
    <row r="77" spans="1:196" x14ac:dyDescent="0.35">
      <c r="A77" t="s">
        <v>159</v>
      </c>
      <c r="B77">
        <v>20</v>
      </c>
      <c r="C77">
        <v>20</v>
      </c>
      <c r="D77" t="s">
        <v>263</v>
      </c>
      <c r="E77" t="s">
        <v>263</v>
      </c>
      <c r="F77">
        <v>20</v>
      </c>
      <c r="G77">
        <v>28</v>
      </c>
      <c r="H77">
        <v>36</v>
      </c>
      <c r="I77">
        <v>36</v>
      </c>
      <c r="Y77" t="s">
        <v>619</v>
      </c>
      <c r="Z77">
        <v>500</v>
      </c>
      <c r="AA77" t="str">
        <f t="shared" si="15"/>
        <v>RAL 3015</v>
      </c>
      <c r="AB77" t="str">
        <f>IF((VLOOKUP(Wycena!$C$7,Mapping!$Q$15:$R$20,2,0))="tak","",AA77)</f>
        <v>RAL 3015</v>
      </c>
      <c r="AC77" t="e" cm="1">
        <f t="array" ref="AC77">IF(ROWS($AB$3:AB77)&gt;(ROWS($AB$3:$AB$229)-COUNTBLANK($AB$3:$AB$229)),"",INDEX($AB$3:$AB$229,SMALL(IF($AB$3:$AB$229&lt;&gt;"",ROW($AB$3:$AB$229)-2),ROWS($AB$3:AB77))))</f>
        <v>#N/A</v>
      </c>
      <c r="AX77">
        <v>146</v>
      </c>
      <c r="AY77">
        <v>1</v>
      </c>
      <c r="AZ77">
        <v>1</v>
      </c>
      <c r="BA77">
        <f>IF(Wycena!$C$16=78,Mapping!AY77,AZ77)</f>
        <v>1</v>
      </c>
      <c r="BD77">
        <v>254</v>
      </c>
      <c r="BE77">
        <v>1</v>
      </c>
      <c r="BF77">
        <v>1</v>
      </c>
      <c r="BG77">
        <f>IF(Wycena!$C$16=78,Mapping!BE77,BF77)</f>
        <v>1</v>
      </c>
      <c r="GM77" t="s">
        <v>448</v>
      </c>
      <c r="GN77" t="s">
        <v>469</v>
      </c>
    </row>
    <row r="78" spans="1:196" x14ac:dyDescent="0.35">
      <c r="A78" t="s">
        <v>160</v>
      </c>
      <c r="B78">
        <v>20</v>
      </c>
      <c r="C78">
        <v>20</v>
      </c>
      <c r="D78" t="s">
        <v>263</v>
      </c>
      <c r="E78" t="s">
        <v>263</v>
      </c>
      <c r="F78">
        <v>20</v>
      </c>
      <c r="G78">
        <v>28</v>
      </c>
      <c r="H78">
        <v>36</v>
      </c>
      <c r="I78">
        <v>36</v>
      </c>
      <c r="Y78" t="s">
        <v>620</v>
      </c>
      <c r="Z78">
        <v>500</v>
      </c>
      <c r="AA78" t="str">
        <f t="shared" si="15"/>
        <v>RAL 3016</v>
      </c>
      <c r="AB78" t="str">
        <f>IF((VLOOKUP(Wycena!$C$7,Mapping!$Q$15:$R$20,2,0))="tak","",AA78)</f>
        <v>RAL 3016</v>
      </c>
      <c r="AC78" t="e" cm="1">
        <f t="array" ref="AC78">IF(ROWS($AB$3:AB78)&gt;(ROWS($AB$3:$AB$229)-COUNTBLANK($AB$3:$AB$229)),"",INDEX($AB$3:$AB$229,SMALL(IF($AB$3:$AB$229&lt;&gt;"",ROW($AB$3:$AB$229)-2),ROWS($AB$3:AB78))))</f>
        <v>#N/A</v>
      </c>
      <c r="AX78">
        <v>147</v>
      </c>
      <c r="AY78">
        <v>1</v>
      </c>
      <c r="AZ78">
        <v>1</v>
      </c>
      <c r="BA78">
        <f>IF(Wycena!$C$16=78,Mapping!AY78,AZ78)</f>
        <v>1</v>
      </c>
      <c r="BD78">
        <v>255</v>
      </c>
      <c r="BE78">
        <v>1</v>
      </c>
      <c r="BF78">
        <v>1</v>
      </c>
      <c r="BG78">
        <f>IF(Wycena!$C$16=78,Mapping!BE78,BF78)</f>
        <v>1</v>
      </c>
      <c r="GM78" t="s">
        <v>449</v>
      </c>
      <c r="GN78" t="s">
        <v>466</v>
      </c>
    </row>
    <row r="79" spans="1:196" x14ac:dyDescent="0.35">
      <c r="A79" t="s">
        <v>161</v>
      </c>
      <c r="B79">
        <v>20</v>
      </c>
      <c r="C79">
        <v>20</v>
      </c>
      <c r="D79" t="s">
        <v>263</v>
      </c>
      <c r="E79" t="s">
        <v>263</v>
      </c>
      <c r="F79">
        <v>20</v>
      </c>
      <c r="G79">
        <v>48</v>
      </c>
      <c r="H79">
        <v>48</v>
      </c>
      <c r="I79">
        <v>48</v>
      </c>
      <c r="Y79" t="s">
        <v>621</v>
      </c>
      <c r="Z79">
        <v>500</v>
      </c>
      <c r="AA79" t="str">
        <f t="shared" si="15"/>
        <v>RAL 3017</v>
      </c>
      <c r="AB79" t="str">
        <f>IF((VLOOKUP(Wycena!$C$7,Mapping!$Q$15:$R$20,2,0))="tak","",AA79)</f>
        <v>RAL 3017</v>
      </c>
      <c r="AC79" t="e" cm="1">
        <f t="array" ref="AC79">IF(ROWS($AB$3:AB79)&gt;(ROWS($AB$3:$AB$229)-COUNTBLANK($AB$3:$AB$229)),"",INDEX($AB$3:$AB$229,SMALL(IF($AB$3:$AB$229&lt;&gt;"",ROW($AB$3:$AB$229)-2),ROWS($AB$3:AB79))))</f>
        <v>#N/A</v>
      </c>
      <c r="AX79">
        <v>148</v>
      </c>
      <c r="AY79">
        <v>1</v>
      </c>
      <c r="AZ79">
        <v>1</v>
      </c>
      <c r="BA79">
        <f>IF(Wycena!$C$16=78,Mapping!AY79,AZ79)</f>
        <v>1</v>
      </c>
      <c r="BD79">
        <v>256</v>
      </c>
      <c r="BE79">
        <v>1</v>
      </c>
      <c r="BF79">
        <v>1</v>
      </c>
      <c r="BG79">
        <f>IF(Wycena!$C$16=78,Mapping!BE79,BF79)</f>
        <v>1</v>
      </c>
      <c r="GM79" t="s">
        <v>449</v>
      </c>
      <c r="GN79" t="s">
        <v>468</v>
      </c>
    </row>
    <row r="80" spans="1:196" x14ac:dyDescent="0.35">
      <c r="A80" t="s">
        <v>162</v>
      </c>
      <c r="B80">
        <v>20</v>
      </c>
      <c r="C80">
        <v>20</v>
      </c>
      <c r="D80" t="s">
        <v>263</v>
      </c>
      <c r="E80" t="s">
        <v>263</v>
      </c>
      <c r="F80">
        <v>20</v>
      </c>
      <c r="G80">
        <v>48</v>
      </c>
      <c r="H80">
        <v>48</v>
      </c>
      <c r="I80">
        <v>48</v>
      </c>
      <c r="Y80" t="s">
        <v>622</v>
      </c>
      <c r="Z80">
        <v>500</v>
      </c>
      <c r="AA80" t="str">
        <f t="shared" si="15"/>
        <v>RAL 3018</v>
      </c>
      <c r="AB80" t="str">
        <f>IF((VLOOKUP(Wycena!$C$7,Mapping!$Q$15:$R$20,2,0))="tak","",AA80)</f>
        <v>RAL 3018</v>
      </c>
      <c r="AC80" t="e" cm="1">
        <f t="array" ref="AC80">IF(ROWS($AB$3:AB80)&gt;(ROWS($AB$3:$AB$229)-COUNTBLANK($AB$3:$AB$229)),"",INDEX($AB$3:$AB$229,SMALL(IF($AB$3:$AB$229&lt;&gt;"",ROW($AB$3:$AB$229)-2),ROWS($AB$3:AB80))))</f>
        <v>#N/A</v>
      </c>
      <c r="AX80">
        <v>149</v>
      </c>
      <c r="AY80">
        <v>1</v>
      </c>
      <c r="AZ80">
        <v>1</v>
      </c>
      <c r="BA80">
        <f>IF(Wycena!$C$16=78,Mapping!AY80,AZ80)</f>
        <v>1</v>
      </c>
      <c r="BD80">
        <v>257</v>
      </c>
      <c r="BE80">
        <v>1</v>
      </c>
      <c r="BF80">
        <v>1</v>
      </c>
      <c r="BG80">
        <f>IF(Wycena!$C$16=78,Mapping!BE80,BF80)</f>
        <v>1</v>
      </c>
      <c r="GM80" t="s">
        <v>449</v>
      </c>
      <c r="GN80" t="s">
        <v>469</v>
      </c>
    </row>
    <row r="81" spans="1:196" x14ac:dyDescent="0.35">
      <c r="A81" t="s">
        <v>163</v>
      </c>
      <c r="B81">
        <v>20</v>
      </c>
      <c r="C81">
        <v>20</v>
      </c>
      <c r="D81" t="s">
        <v>263</v>
      </c>
      <c r="E81" t="s">
        <v>263</v>
      </c>
      <c r="F81">
        <v>20</v>
      </c>
      <c r="G81">
        <v>42</v>
      </c>
      <c r="H81">
        <v>42</v>
      </c>
      <c r="I81">
        <v>42</v>
      </c>
      <c r="Y81" t="s">
        <v>623</v>
      </c>
      <c r="Z81">
        <v>500</v>
      </c>
      <c r="AA81" t="str">
        <f t="shared" si="15"/>
        <v>RAL 3020</v>
      </c>
      <c r="AB81" t="str">
        <f>IF((VLOOKUP(Wycena!$C$7,Mapping!$Q$15:$R$20,2,0))="tak","",AA81)</f>
        <v>RAL 3020</v>
      </c>
      <c r="AC81" t="e" cm="1">
        <f t="array" ref="AC81">IF(ROWS($AB$3:AB81)&gt;(ROWS($AB$3:$AB$229)-COUNTBLANK($AB$3:$AB$229)),"",INDEX($AB$3:$AB$229,SMALL(IF($AB$3:$AB$229&lt;&gt;"",ROW($AB$3:$AB$229)-2),ROWS($AB$3:AB81))))</f>
        <v>#N/A</v>
      </c>
      <c r="AX81">
        <v>150</v>
      </c>
      <c r="AY81">
        <v>1</v>
      </c>
      <c r="AZ81">
        <v>1</v>
      </c>
      <c r="BA81">
        <f>IF(Wycena!$C$16=78,Mapping!AY81,AZ81)</f>
        <v>1</v>
      </c>
      <c r="BD81">
        <v>258</v>
      </c>
      <c r="BE81">
        <v>1</v>
      </c>
      <c r="BF81">
        <v>1</v>
      </c>
      <c r="BG81">
        <f>IF(Wycena!$C$16=78,Mapping!BE81,BF81)</f>
        <v>1</v>
      </c>
      <c r="GM81" t="s">
        <v>780</v>
      </c>
      <c r="GN81" t="s">
        <v>476</v>
      </c>
    </row>
    <row r="82" spans="1:196" x14ac:dyDescent="0.35">
      <c r="A82" t="s">
        <v>164</v>
      </c>
      <c r="B82">
        <v>20</v>
      </c>
      <c r="C82">
        <v>20</v>
      </c>
      <c r="D82" t="s">
        <v>263</v>
      </c>
      <c r="E82" t="s">
        <v>263</v>
      </c>
      <c r="F82">
        <v>20</v>
      </c>
      <c r="G82">
        <v>28</v>
      </c>
      <c r="H82">
        <v>36</v>
      </c>
      <c r="I82">
        <v>36</v>
      </c>
      <c r="Y82" t="s">
        <v>624</v>
      </c>
      <c r="Z82">
        <v>500</v>
      </c>
      <c r="AA82" t="str">
        <f t="shared" si="15"/>
        <v>RAL 3022</v>
      </c>
      <c r="AB82" t="str">
        <f>IF((VLOOKUP(Wycena!$C$7,Mapping!$Q$15:$R$20,2,0))="tak","",AA82)</f>
        <v>RAL 3022</v>
      </c>
      <c r="AC82" t="e" cm="1">
        <f t="array" ref="AC82">IF(ROWS($AB$3:AB82)&gt;(ROWS($AB$3:$AB$229)-COUNTBLANK($AB$3:$AB$229)),"",INDEX($AB$3:$AB$229,SMALL(IF($AB$3:$AB$229&lt;&gt;"",ROW($AB$3:$AB$229)-2),ROWS($AB$3:AB82))))</f>
        <v>#N/A</v>
      </c>
      <c r="AX82">
        <v>151</v>
      </c>
      <c r="AY82">
        <v>1</v>
      </c>
      <c r="AZ82">
        <v>1</v>
      </c>
      <c r="BA82">
        <f>IF(Wycena!$C$16=78,Mapping!AY82,AZ82)</f>
        <v>1</v>
      </c>
      <c r="BD82">
        <v>259</v>
      </c>
      <c r="BE82">
        <v>1</v>
      </c>
      <c r="BF82">
        <v>1</v>
      </c>
      <c r="BG82">
        <f>IF(Wycena!$C$16=78,Mapping!BE82,BF82)</f>
        <v>1</v>
      </c>
      <c r="GM82" t="s">
        <v>779</v>
      </c>
      <c r="GN82" t="s">
        <v>476</v>
      </c>
    </row>
    <row r="83" spans="1:196" x14ac:dyDescent="0.35">
      <c r="A83" t="s">
        <v>165</v>
      </c>
      <c r="B83">
        <v>20</v>
      </c>
      <c r="C83">
        <v>20</v>
      </c>
      <c r="D83" t="s">
        <v>263</v>
      </c>
      <c r="E83" t="s">
        <v>263</v>
      </c>
      <c r="F83">
        <v>20</v>
      </c>
      <c r="G83">
        <v>50</v>
      </c>
      <c r="H83">
        <v>50</v>
      </c>
      <c r="I83">
        <v>50</v>
      </c>
      <c r="Y83" t="s">
        <v>625</v>
      </c>
      <c r="Z83">
        <v>500</v>
      </c>
      <c r="AA83" t="str">
        <f t="shared" si="15"/>
        <v>RAL 3024</v>
      </c>
      <c r="AB83" t="str">
        <f>IF((VLOOKUP(Wycena!$C$7,Mapping!$Q$15:$R$20,2,0))="tak","",AA83)</f>
        <v>RAL 3024</v>
      </c>
      <c r="AC83" t="e" cm="1">
        <f t="array" ref="AC83">IF(ROWS($AB$3:AB83)&gt;(ROWS($AB$3:$AB$229)-COUNTBLANK($AB$3:$AB$229)),"",INDEX($AB$3:$AB$229,SMALL(IF($AB$3:$AB$229&lt;&gt;"",ROW($AB$3:$AB$229)-2),ROWS($AB$3:AB83))))</f>
        <v>#N/A</v>
      </c>
      <c r="AX83">
        <v>152</v>
      </c>
      <c r="AY83">
        <v>1</v>
      </c>
      <c r="AZ83">
        <v>1</v>
      </c>
      <c r="BA83">
        <f>IF(Wycena!$C$16=78,Mapping!AY83,AZ83)</f>
        <v>1</v>
      </c>
      <c r="BD83">
        <v>260</v>
      </c>
      <c r="BE83">
        <v>1</v>
      </c>
      <c r="BF83">
        <v>1</v>
      </c>
      <c r="BG83">
        <f>IF(Wycena!$C$16=78,Mapping!BE83,BF83)</f>
        <v>1</v>
      </c>
      <c r="GM83" t="s">
        <v>443</v>
      </c>
      <c r="GN83" t="s">
        <v>466</v>
      </c>
    </row>
    <row r="84" spans="1:196" x14ac:dyDescent="0.35">
      <c r="A84" t="s">
        <v>166</v>
      </c>
      <c r="B84">
        <v>20</v>
      </c>
      <c r="C84">
        <v>20</v>
      </c>
      <c r="D84" t="s">
        <v>263</v>
      </c>
      <c r="E84" t="s">
        <v>263</v>
      </c>
      <c r="F84">
        <v>20</v>
      </c>
      <c r="G84">
        <v>42</v>
      </c>
      <c r="H84">
        <v>42</v>
      </c>
      <c r="I84">
        <v>42</v>
      </c>
      <c r="Y84" t="s">
        <v>626</v>
      </c>
      <c r="Z84">
        <v>500</v>
      </c>
      <c r="AA84" t="str">
        <f t="shared" si="15"/>
        <v>RAL 3026</v>
      </c>
      <c r="AB84" t="str">
        <f>IF((VLOOKUP(Wycena!$C$7,Mapping!$Q$15:$R$20,2,0))="tak","",AA84)</f>
        <v>RAL 3026</v>
      </c>
      <c r="AC84" t="e" cm="1">
        <f t="array" ref="AC84">IF(ROWS($AB$3:AB84)&gt;(ROWS($AB$3:$AB$229)-COUNTBLANK($AB$3:$AB$229)),"",INDEX($AB$3:$AB$229,SMALL(IF($AB$3:$AB$229&lt;&gt;"",ROW($AB$3:$AB$229)-2),ROWS($AB$3:AB84))))</f>
        <v>#N/A</v>
      </c>
      <c r="AX84">
        <v>153</v>
      </c>
      <c r="AY84">
        <v>1</v>
      </c>
      <c r="AZ84">
        <v>1</v>
      </c>
      <c r="BA84">
        <f>IF(Wycena!$C$16=78,Mapping!AY84,AZ84)</f>
        <v>1</v>
      </c>
      <c r="BD84">
        <v>261</v>
      </c>
      <c r="BE84">
        <v>1</v>
      </c>
      <c r="BF84">
        <v>1</v>
      </c>
      <c r="BG84">
        <f>IF(Wycena!$C$16=78,Mapping!BE84,BF84)</f>
        <v>1</v>
      </c>
      <c r="GM84" t="s">
        <v>443</v>
      </c>
      <c r="GN84" t="s">
        <v>472</v>
      </c>
    </row>
    <row r="85" spans="1:196" x14ac:dyDescent="0.35">
      <c r="A85" t="s">
        <v>167</v>
      </c>
      <c r="B85">
        <v>20</v>
      </c>
      <c r="C85">
        <v>20</v>
      </c>
      <c r="D85" t="s">
        <v>263</v>
      </c>
      <c r="E85" t="s">
        <v>263</v>
      </c>
      <c r="F85">
        <v>20</v>
      </c>
      <c r="G85">
        <v>28</v>
      </c>
      <c r="H85">
        <v>36</v>
      </c>
      <c r="I85">
        <v>36</v>
      </c>
      <c r="Y85" t="s">
        <v>627</v>
      </c>
      <c r="Z85">
        <v>500</v>
      </c>
      <c r="AA85" t="str">
        <f t="shared" si="15"/>
        <v>RAL 3027</v>
      </c>
      <c r="AB85" t="str">
        <f>IF((VLOOKUP(Wycena!$C$7,Mapping!$Q$15:$R$20,2,0))="tak","",AA85)</f>
        <v>RAL 3027</v>
      </c>
      <c r="AC85" t="e" cm="1">
        <f t="array" ref="AC85">IF(ROWS($AB$3:AB85)&gt;(ROWS($AB$3:$AB$229)-COUNTBLANK($AB$3:$AB$229)),"",INDEX($AB$3:$AB$229,SMALL(IF($AB$3:$AB$229&lt;&gt;"",ROW($AB$3:$AB$229)-2),ROWS($AB$3:AB85))))</f>
        <v>#N/A</v>
      </c>
      <c r="AX85">
        <v>154</v>
      </c>
      <c r="AY85">
        <v>1</v>
      </c>
      <c r="AZ85">
        <v>1</v>
      </c>
      <c r="BA85">
        <f>IF(Wycena!$C$16=78,Mapping!AY85,AZ85)</f>
        <v>1</v>
      </c>
      <c r="BD85">
        <v>262</v>
      </c>
      <c r="BE85">
        <v>1</v>
      </c>
      <c r="BF85">
        <v>1</v>
      </c>
      <c r="BG85">
        <f>IF(Wycena!$C$16=78,Mapping!BE85,BF85)</f>
        <v>1</v>
      </c>
      <c r="GM85" t="s">
        <v>443</v>
      </c>
      <c r="GN85" t="s">
        <v>468</v>
      </c>
    </row>
    <row r="86" spans="1:196" x14ac:dyDescent="0.35">
      <c r="A86" t="s">
        <v>168</v>
      </c>
      <c r="B86">
        <v>20</v>
      </c>
      <c r="C86">
        <v>20</v>
      </c>
      <c r="D86" t="s">
        <v>263</v>
      </c>
      <c r="E86" t="s">
        <v>263</v>
      </c>
      <c r="F86">
        <v>20</v>
      </c>
      <c r="G86">
        <v>42</v>
      </c>
      <c r="H86">
        <v>42</v>
      </c>
      <c r="I86">
        <v>42</v>
      </c>
      <c r="Y86" t="s">
        <v>628</v>
      </c>
      <c r="Z86">
        <v>500</v>
      </c>
      <c r="AA86" t="str">
        <f t="shared" si="15"/>
        <v>RAL 3028</v>
      </c>
      <c r="AB86" t="str">
        <f>IF((VLOOKUP(Wycena!$C$7,Mapping!$Q$15:$R$20,2,0))="tak","",AA86)</f>
        <v>RAL 3028</v>
      </c>
      <c r="AC86" t="e" cm="1">
        <f t="array" ref="AC86">IF(ROWS($AB$3:AB86)&gt;(ROWS($AB$3:$AB$229)-COUNTBLANK($AB$3:$AB$229)),"",INDEX($AB$3:$AB$229,SMALL(IF($AB$3:$AB$229&lt;&gt;"",ROW($AB$3:$AB$229)-2),ROWS($AB$3:AB86))))</f>
        <v>#N/A</v>
      </c>
      <c r="AX86">
        <v>155</v>
      </c>
      <c r="AY86">
        <v>1</v>
      </c>
      <c r="AZ86">
        <v>1</v>
      </c>
      <c r="BA86">
        <f>IF(Wycena!$C$16=78,Mapping!AY86,AZ86)</f>
        <v>1</v>
      </c>
      <c r="BD86">
        <v>263</v>
      </c>
      <c r="BE86">
        <v>1</v>
      </c>
      <c r="BF86">
        <v>1</v>
      </c>
      <c r="BG86">
        <f>IF(Wycena!$C$16=78,Mapping!BE86,BF86)</f>
        <v>1</v>
      </c>
      <c r="GM86" t="s">
        <v>443</v>
      </c>
      <c r="GN86" t="s">
        <v>469</v>
      </c>
    </row>
    <row r="87" spans="1:196" x14ac:dyDescent="0.35">
      <c r="A87" t="s">
        <v>169</v>
      </c>
      <c r="B87">
        <v>20</v>
      </c>
      <c r="C87">
        <v>20</v>
      </c>
      <c r="D87" t="s">
        <v>263</v>
      </c>
      <c r="E87" t="s">
        <v>263</v>
      </c>
      <c r="F87">
        <v>20</v>
      </c>
      <c r="G87">
        <v>28</v>
      </c>
      <c r="H87">
        <v>36</v>
      </c>
      <c r="I87">
        <v>36</v>
      </c>
      <c r="Y87" t="s">
        <v>629</v>
      </c>
      <c r="Z87">
        <v>500</v>
      </c>
      <c r="AA87" t="str">
        <f t="shared" si="15"/>
        <v>RAL 3031</v>
      </c>
      <c r="AB87" t="str">
        <f>IF((VLOOKUP(Wycena!$C$7,Mapping!$Q$15:$R$20,2,0))="tak","",AA87)</f>
        <v>RAL 3031</v>
      </c>
      <c r="AC87" t="e" cm="1">
        <f t="array" ref="AC87">IF(ROWS($AB$3:AB87)&gt;(ROWS($AB$3:$AB$229)-COUNTBLANK($AB$3:$AB$229)),"",INDEX($AB$3:$AB$229,SMALL(IF($AB$3:$AB$229&lt;&gt;"",ROW($AB$3:$AB$229)-2),ROWS($AB$3:AB87))))</f>
        <v>#N/A</v>
      </c>
      <c r="AX87">
        <v>156</v>
      </c>
      <c r="AY87">
        <v>1</v>
      </c>
      <c r="AZ87">
        <v>1</v>
      </c>
      <c r="BA87">
        <f>IF(Wycena!$C$16=78,Mapping!AY87,AZ87)</f>
        <v>1</v>
      </c>
      <c r="BD87">
        <v>264</v>
      </c>
      <c r="BE87">
        <v>1</v>
      </c>
      <c r="BF87">
        <v>1</v>
      </c>
      <c r="BG87">
        <f>IF(Wycena!$C$16=78,Mapping!BE87,BF87)</f>
        <v>1</v>
      </c>
      <c r="GM87" t="s">
        <v>444</v>
      </c>
      <c r="GN87" t="s">
        <v>466</v>
      </c>
    </row>
    <row r="88" spans="1:196" x14ac:dyDescent="0.35">
      <c r="A88" t="s">
        <v>170</v>
      </c>
      <c r="B88">
        <v>20</v>
      </c>
      <c r="C88">
        <v>20</v>
      </c>
      <c r="D88" t="s">
        <v>263</v>
      </c>
      <c r="E88" t="s">
        <v>263</v>
      </c>
      <c r="F88">
        <v>20</v>
      </c>
      <c r="G88">
        <v>28</v>
      </c>
      <c r="H88">
        <v>36</v>
      </c>
      <c r="I88">
        <v>36</v>
      </c>
      <c r="Y88" t="s">
        <v>630</v>
      </c>
      <c r="Z88">
        <v>500</v>
      </c>
      <c r="AA88" t="str">
        <f t="shared" si="15"/>
        <v>RAL 3032</v>
      </c>
      <c r="AB88" t="str">
        <f>IF((VLOOKUP(Wycena!$C$7,Mapping!$Q$15:$R$20,2,0))="tak","",AA88)</f>
        <v>RAL 3032</v>
      </c>
      <c r="AC88" t="e" cm="1">
        <f t="array" ref="AC88">IF(ROWS($AB$3:AB88)&gt;(ROWS($AB$3:$AB$229)-COUNTBLANK($AB$3:$AB$229)),"",INDEX($AB$3:$AB$229,SMALL(IF($AB$3:$AB$229&lt;&gt;"",ROW($AB$3:$AB$229)-2),ROWS($AB$3:AB88))))</f>
        <v>#N/A</v>
      </c>
      <c r="AX88">
        <v>157</v>
      </c>
      <c r="AY88">
        <v>1</v>
      </c>
      <c r="AZ88">
        <v>1</v>
      </c>
      <c r="BA88">
        <f>IF(Wycena!$C$16=78,Mapping!AY88,AZ88)</f>
        <v>1</v>
      </c>
      <c r="BD88">
        <v>265</v>
      </c>
      <c r="BE88">
        <v>1</v>
      </c>
      <c r="BF88">
        <v>1</v>
      </c>
      <c r="BG88">
        <f>IF(Wycena!$C$16=78,Mapping!BE88,BF88)</f>
        <v>1</v>
      </c>
      <c r="GM88" t="s">
        <v>444</v>
      </c>
      <c r="GN88" t="s">
        <v>472</v>
      </c>
    </row>
    <row r="89" spans="1:196" x14ac:dyDescent="0.35">
      <c r="A89" t="s">
        <v>171</v>
      </c>
      <c r="B89">
        <v>20</v>
      </c>
      <c r="C89">
        <v>20</v>
      </c>
      <c r="D89" t="s">
        <v>263</v>
      </c>
      <c r="E89" t="s">
        <v>263</v>
      </c>
      <c r="F89">
        <v>20</v>
      </c>
      <c r="G89">
        <v>28</v>
      </c>
      <c r="H89">
        <v>36</v>
      </c>
      <c r="I89">
        <v>36</v>
      </c>
      <c r="Y89" t="s">
        <v>631</v>
      </c>
      <c r="Z89">
        <v>500</v>
      </c>
      <c r="AA89" t="str">
        <f t="shared" si="15"/>
        <v>RAL 3033</v>
      </c>
      <c r="AB89" t="str">
        <f>IF((VLOOKUP(Wycena!$C$7,Mapping!$Q$15:$R$20,2,0))="tak","",AA89)</f>
        <v>RAL 3033</v>
      </c>
      <c r="AC89" t="e" cm="1">
        <f t="array" ref="AC89">IF(ROWS($AB$3:AB89)&gt;(ROWS($AB$3:$AB$229)-COUNTBLANK($AB$3:$AB$229)),"",INDEX($AB$3:$AB$229,SMALL(IF($AB$3:$AB$229&lt;&gt;"",ROW($AB$3:$AB$229)-2),ROWS($AB$3:AB89))))</f>
        <v>#N/A</v>
      </c>
      <c r="AX89">
        <v>158</v>
      </c>
      <c r="AY89">
        <v>1</v>
      </c>
      <c r="AZ89">
        <v>1</v>
      </c>
      <c r="BA89">
        <f>IF(Wycena!$C$16=78,Mapping!AY89,AZ89)</f>
        <v>1</v>
      </c>
      <c r="BD89">
        <v>266</v>
      </c>
      <c r="BE89">
        <v>1</v>
      </c>
      <c r="BF89">
        <v>1</v>
      </c>
      <c r="BG89">
        <f>IF(Wycena!$C$16=78,Mapping!BE89,BF89)</f>
        <v>1</v>
      </c>
      <c r="GM89" t="s">
        <v>444</v>
      </c>
      <c r="GN89" t="s">
        <v>468</v>
      </c>
    </row>
    <row r="90" spans="1:196" x14ac:dyDescent="0.35">
      <c r="A90" t="s">
        <v>172</v>
      </c>
      <c r="B90">
        <v>20</v>
      </c>
      <c r="C90">
        <v>20</v>
      </c>
      <c r="D90" t="s">
        <v>263</v>
      </c>
      <c r="E90" t="s">
        <v>263</v>
      </c>
      <c r="F90">
        <v>20</v>
      </c>
      <c r="G90">
        <v>28</v>
      </c>
      <c r="H90">
        <v>36</v>
      </c>
      <c r="I90">
        <v>36</v>
      </c>
      <c r="Y90" t="s">
        <v>632</v>
      </c>
      <c r="Z90">
        <v>500</v>
      </c>
      <c r="AA90" t="str">
        <f t="shared" si="15"/>
        <v>RAL 4001</v>
      </c>
      <c r="AB90" t="str">
        <f>IF((VLOOKUP(Wycena!$C$7,Mapping!$Q$15:$R$20,2,0))="tak","",AA90)</f>
        <v>RAL 4001</v>
      </c>
      <c r="AC90" t="e" cm="1">
        <f t="array" ref="AC90">IF(ROWS($AB$3:AB90)&gt;(ROWS($AB$3:$AB$229)-COUNTBLANK($AB$3:$AB$229)),"",INDEX($AB$3:$AB$229,SMALL(IF($AB$3:$AB$229&lt;&gt;"",ROW($AB$3:$AB$229)-2),ROWS($AB$3:AB90))))</f>
        <v>#N/A</v>
      </c>
      <c r="AX90">
        <v>159</v>
      </c>
      <c r="AY90">
        <v>1</v>
      </c>
      <c r="AZ90">
        <v>1</v>
      </c>
      <c r="BA90">
        <f>IF(Wycena!$C$16=78,Mapping!AY90,AZ90)</f>
        <v>1</v>
      </c>
      <c r="BD90">
        <v>267</v>
      </c>
      <c r="BE90">
        <v>1</v>
      </c>
      <c r="BF90">
        <v>1</v>
      </c>
      <c r="BG90">
        <f>IF(Wycena!$C$16=78,Mapping!BE90,BF90)</f>
        <v>1</v>
      </c>
      <c r="GM90" t="s">
        <v>444</v>
      </c>
      <c r="GN90" t="s">
        <v>469</v>
      </c>
    </row>
    <row r="91" spans="1:196" x14ac:dyDescent="0.35">
      <c r="A91" t="s">
        <v>173</v>
      </c>
      <c r="B91">
        <v>20</v>
      </c>
      <c r="C91">
        <v>20</v>
      </c>
      <c r="D91" t="s">
        <v>263</v>
      </c>
      <c r="E91" t="s">
        <v>263</v>
      </c>
      <c r="F91">
        <v>20</v>
      </c>
      <c r="G91">
        <v>28</v>
      </c>
      <c r="H91">
        <v>36</v>
      </c>
      <c r="I91">
        <v>36</v>
      </c>
      <c r="Y91" t="s">
        <v>633</v>
      </c>
      <c r="Z91">
        <v>500</v>
      </c>
      <c r="AA91" t="str">
        <f t="shared" si="15"/>
        <v>RAL 4002</v>
      </c>
      <c r="AB91" t="str">
        <f>IF((VLOOKUP(Wycena!$C$7,Mapping!$Q$15:$R$20,2,0))="tak","",AA91)</f>
        <v>RAL 4002</v>
      </c>
      <c r="AC91" t="e" cm="1">
        <f t="array" ref="AC91">IF(ROWS($AB$3:AB91)&gt;(ROWS($AB$3:$AB$229)-COUNTBLANK($AB$3:$AB$229)),"",INDEX($AB$3:$AB$229,SMALL(IF($AB$3:$AB$229&lt;&gt;"",ROW($AB$3:$AB$229)-2),ROWS($AB$3:AB91))))</f>
        <v>#N/A</v>
      </c>
      <c r="AX91">
        <v>160</v>
      </c>
      <c r="AY91">
        <v>1</v>
      </c>
      <c r="AZ91">
        <v>1</v>
      </c>
      <c r="BA91">
        <f>IF(Wycena!$C$16=78,Mapping!AY91,AZ91)</f>
        <v>1</v>
      </c>
      <c r="BD91">
        <v>268</v>
      </c>
      <c r="BE91">
        <v>1</v>
      </c>
      <c r="BF91">
        <v>1</v>
      </c>
      <c r="BG91">
        <f>IF(Wycena!$C$16=78,Mapping!BE91,BF91)</f>
        <v>1</v>
      </c>
      <c r="GM91" t="s">
        <v>441</v>
      </c>
      <c r="GN91" t="s">
        <v>466</v>
      </c>
    </row>
    <row r="92" spans="1:196" x14ac:dyDescent="0.35">
      <c r="A92" t="s">
        <v>174</v>
      </c>
      <c r="B92">
        <v>20</v>
      </c>
      <c r="C92">
        <v>20</v>
      </c>
      <c r="D92" t="s">
        <v>263</v>
      </c>
      <c r="E92" t="s">
        <v>263</v>
      </c>
      <c r="F92">
        <v>20</v>
      </c>
      <c r="G92">
        <v>28</v>
      </c>
      <c r="H92">
        <v>36</v>
      </c>
      <c r="I92">
        <v>36</v>
      </c>
      <c r="Y92" t="s">
        <v>634</v>
      </c>
      <c r="Z92">
        <v>500</v>
      </c>
      <c r="AA92" t="str">
        <f t="shared" si="15"/>
        <v>RAL 4003</v>
      </c>
      <c r="AB92" t="str">
        <f>IF((VLOOKUP(Wycena!$C$7,Mapping!$Q$15:$R$20,2,0))="tak","",AA92)</f>
        <v>RAL 4003</v>
      </c>
      <c r="AC92" t="e" cm="1">
        <f t="array" ref="AC92">IF(ROWS($AB$3:AB92)&gt;(ROWS($AB$3:$AB$229)-COUNTBLANK($AB$3:$AB$229)),"",INDEX($AB$3:$AB$229,SMALL(IF($AB$3:$AB$229&lt;&gt;"",ROW($AB$3:$AB$229)-2),ROWS($AB$3:AB92))))</f>
        <v>#N/A</v>
      </c>
      <c r="AX92">
        <v>161</v>
      </c>
      <c r="AY92">
        <v>1</v>
      </c>
      <c r="AZ92">
        <v>1</v>
      </c>
      <c r="BA92">
        <f>IF(Wycena!$C$16=78,Mapping!AY92,AZ92)</f>
        <v>1</v>
      </c>
      <c r="BD92">
        <v>269</v>
      </c>
      <c r="BE92">
        <v>1</v>
      </c>
      <c r="BF92">
        <v>1</v>
      </c>
      <c r="BG92">
        <f>IF(Wycena!$C$16=78,Mapping!BE92,BF92)</f>
        <v>1</v>
      </c>
      <c r="GM92" t="s">
        <v>441</v>
      </c>
      <c r="GN92" t="s">
        <v>472</v>
      </c>
    </row>
    <row r="93" spans="1:196" x14ac:dyDescent="0.35">
      <c r="A93" t="s">
        <v>175</v>
      </c>
      <c r="B93">
        <v>20</v>
      </c>
      <c r="C93">
        <v>20</v>
      </c>
      <c r="D93" t="s">
        <v>263</v>
      </c>
      <c r="E93" t="s">
        <v>263</v>
      </c>
      <c r="F93">
        <v>20</v>
      </c>
      <c r="G93">
        <v>28</v>
      </c>
      <c r="H93">
        <v>36</v>
      </c>
      <c r="I93">
        <v>36</v>
      </c>
      <c r="Y93" t="s">
        <v>635</v>
      </c>
      <c r="Z93">
        <v>500</v>
      </c>
      <c r="AA93" t="str">
        <f t="shared" si="15"/>
        <v>RAL 4004</v>
      </c>
      <c r="AB93" t="str">
        <f>IF((VLOOKUP(Wycena!$C$7,Mapping!$Q$15:$R$20,2,0))="tak","",AA93)</f>
        <v>RAL 4004</v>
      </c>
      <c r="AC93" t="e" cm="1">
        <f t="array" ref="AC93">IF(ROWS($AB$3:AB93)&gt;(ROWS($AB$3:$AB$229)-COUNTBLANK($AB$3:$AB$229)),"",INDEX($AB$3:$AB$229,SMALL(IF($AB$3:$AB$229&lt;&gt;"",ROW($AB$3:$AB$229)-2),ROWS($AB$3:AB93))))</f>
        <v>#N/A</v>
      </c>
      <c r="AX93">
        <v>162</v>
      </c>
      <c r="AY93">
        <v>1</v>
      </c>
      <c r="AZ93">
        <v>1</v>
      </c>
      <c r="BA93">
        <f>IF(Wycena!$C$16=78,Mapping!AY93,AZ93)</f>
        <v>1</v>
      </c>
      <c r="BD93">
        <v>270</v>
      </c>
      <c r="BE93">
        <v>1</v>
      </c>
      <c r="BF93">
        <v>1</v>
      </c>
      <c r="BG93">
        <f>IF(Wycena!$C$16=78,Mapping!BE93,BF93)</f>
        <v>1</v>
      </c>
      <c r="GM93" t="s">
        <v>441</v>
      </c>
      <c r="GN93" t="s">
        <v>468</v>
      </c>
    </row>
    <row r="94" spans="1:196" x14ac:dyDescent="0.35">
      <c r="A94" t="s">
        <v>176</v>
      </c>
      <c r="B94">
        <v>20</v>
      </c>
      <c r="C94">
        <v>20</v>
      </c>
      <c r="D94" t="s">
        <v>263</v>
      </c>
      <c r="E94" t="s">
        <v>263</v>
      </c>
      <c r="F94">
        <v>20</v>
      </c>
      <c r="G94">
        <v>42</v>
      </c>
      <c r="H94">
        <v>42</v>
      </c>
      <c r="I94">
        <v>42</v>
      </c>
      <c r="Y94" t="s">
        <v>636</v>
      </c>
      <c r="Z94">
        <v>500</v>
      </c>
      <c r="AA94" t="str">
        <f t="shared" si="15"/>
        <v>RAL 4005</v>
      </c>
      <c r="AB94" t="str">
        <f>IF((VLOOKUP(Wycena!$C$7,Mapping!$Q$15:$R$20,2,0))="tak","",AA94)</f>
        <v>RAL 4005</v>
      </c>
      <c r="AC94" t="e" cm="1">
        <f t="array" ref="AC94">IF(ROWS($AB$3:AB94)&gt;(ROWS($AB$3:$AB$229)-COUNTBLANK($AB$3:$AB$229)),"",INDEX($AB$3:$AB$229,SMALL(IF($AB$3:$AB$229&lt;&gt;"",ROW($AB$3:$AB$229)-2),ROWS($AB$3:AB94))))</f>
        <v>#N/A</v>
      </c>
      <c r="AX94">
        <v>163</v>
      </c>
      <c r="AY94">
        <v>1</v>
      </c>
      <c r="AZ94">
        <v>1</v>
      </c>
      <c r="BA94">
        <f>IF(Wycena!$C$16=78,Mapping!AY94,AZ94)</f>
        <v>1</v>
      </c>
      <c r="BD94">
        <v>271</v>
      </c>
      <c r="BE94">
        <v>1</v>
      </c>
      <c r="BF94">
        <v>1</v>
      </c>
      <c r="BG94">
        <f>IF(Wycena!$C$16=78,Mapping!BE94,BF94)</f>
        <v>1</v>
      </c>
      <c r="GM94" t="s">
        <v>441</v>
      </c>
      <c r="GN94" t="s">
        <v>469</v>
      </c>
    </row>
    <row r="95" spans="1:196" x14ac:dyDescent="0.35">
      <c r="A95" t="s">
        <v>177</v>
      </c>
      <c r="B95">
        <v>20</v>
      </c>
      <c r="C95">
        <v>20</v>
      </c>
      <c r="D95" t="s">
        <v>263</v>
      </c>
      <c r="E95" t="s">
        <v>263</v>
      </c>
      <c r="F95">
        <v>20</v>
      </c>
      <c r="G95">
        <v>28</v>
      </c>
      <c r="H95">
        <v>36</v>
      </c>
      <c r="I95">
        <v>36</v>
      </c>
      <c r="Y95" t="s">
        <v>637</v>
      </c>
      <c r="Z95">
        <v>500</v>
      </c>
      <c r="AA95" t="str">
        <f t="shared" si="15"/>
        <v>RAL 4006</v>
      </c>
      <c r="AB95" t="str">
        <f>IF((VLOOKUP(Wycena!$C$7,Mapping!$Q$15:$R$20,2,0))="tak","",AA95)</f>
        <v>RAL 4006</v>
      </c>
      <c r="AC95" t="e" cm="1">
        <f t="array" ref="AC95">IF(ROWS($AB$3:AB95)&gt;(ROWS($AB$3:$AB$229)-COUNTBLANK($AB$3:$AB$229)),"",INDEX($AB$3:$AB$229,SMALL(IF($AB$3:$AB$229&lt;&gt;"",ROW($AB$3:$AB$229)-2),ROWS($AB$3:AB95))))</f>
        <v>#N/A</v>
      </c>
      <c r="AX95">
        <v>164</v>
      </c>
      <c r="AY95">
        <v>1</v>
      </c>
      <c r="AZ95">
        <v>1</v>
      </c>
      <c r="BA95">
        <f>IF(Wycena!$C$16=78,Mapping!AY95,AZ95)</f>
        <v>1</v>
      </c>
      <c r="BD95">
        <v>272</v>
      </c>
      <c r="BE95">
        <v>1</v>
      </c>
      <c r="BF95">
        <v>1</v>
      </c>
      <c r="BG95">
        <f>IF(Wycena!$C$16=78,Mapping!BE95,BF95)</f>
        <v>1</v>
      </c>
      <c r="GM95" t="s">
        <v>442</v>
      </c>
      <c r="GN95" t="s">
        <v>466</v>
      </c>
    </row>
    <row r="96" spans="1:196" x14ac:dyDescent="0.35">
      <c r="A96" t="s">
        <v>178</v>
      </c>
      <c r="B96">
        <v>20</v>
      </c>
      <c r="C96">
        <v>20</v>
      </c>
      <c r="D96" t="s">
        <v>263</v>
      </c>
      <c r="E96" t="s">
        <v>263</v>
      </c>
      <c r="F96">
        <v>20</v>
      </c>
      <c r="G96">
        <v>28</v>
      </c>
      <c r="H96">
        <v>36</v>
      </c>
      <c r="I96">
        <v>36</v>
      </c>
      <c r="Y96" t="s">
        <v>638</v>
      </c>
      <c r="Z96">
        <v>500</v>
      </c>
      <c r="AA96" t="str">
        <f t="shared" si="15"/>
        <v>RAL 4007</v>
      </c>
      <c r="AB96" t="str">
        <f>IF((VLOOKUP(Wycena!$C$7,Mapping!$Q$15:$R$20,2,0))="tak","",AA96)</f>
        <v>RAL 4007</v>
      </c>
      <c r="AC96" t="e" cm="1">
        <f t="array" ref="AC96">IF(ROWS($AB$3:AB96)&gt;(ROWS($AB$3:$AB$229)-COUNTBLANK($AB$3:$AB$229)),"",INDEX($AB$3:$AB$229,SMALL(IF($AB$3:$AB$229&lt;&gt;"",ROW($AB$3:$AB$229)-2),ROWS($AB$3:AB96))))</f>
        <v>#N/A</v>
      </c>
      <c r="AX96">
        <v>165</v>
      </c>
      <c r="AY96">
        <v>1</v>
      </c>
      <c r="AZ96">
        <v>1</v>
      </c>
      <c r="BA96">
        <f>IF(Wycena!$C$16=78,Mapping!AY96,AZ96)</f>
        <v>1</v>
      </c>
      <c r="BD96">
        <v>273</v>
      </c>
      <c r="BE96">
        <v>1</v>
      </c>
      <c r="BF96">
        <v>1</v>
      </c>
      <c r="BG96">
        <f>IF(Wycena!$C$16=78,Mapping!BE96,BF96)</f>
        <v>1</v>
      </c>
      <c r="GM96" t="s">
        <v>442</v>
      </c>
      <c r="GN96" t="s">
        <v>472</v>
      </c>
    </row>
    <row r="97" spans="1:196" x14ac:dyDescent="0.35">
      <c r="A97" t="s">
        <v>179</v>
      </c>
      <c r="B97">
        <v>20</v>
      </c>
      <c r="C97">
        <v>20</v>
      </c>
      <c r="D97" t="s">
        <v>263</v>
      </c>
      <c r="E97" t="s">
        <v>263</v>
      </c>
      <c r="F97">
        <v>20</v>
      </c>
      <c r="G97">
        <v>28</v>
      </c>
      <c r="H97">
        <v>36</v>
      </c>
      <c r="I97">
        <v>36</v>
      </c>
      <c r="Y97" t="s">
        <v>639</v>
      </c>
      <c r="Z97">
        <v>500</v>
      </c>
      <c r="AA97" t="str">
        <f t="shared" si="15"/>
        <v>RAL 4008</v>
      </c>
      <c r="AB97" t="str">
        <f>IF((VLOOKUP(Wycena!$C$7,Mapping!$Q$15:$R$20,2,0))="tak","",AA97)</f>
        <v>RAL 4008</v>
      </c>
      <c r="AC97" t="e" cm="1">
        <f t="array" ref="AC97">IF(ROWS($AB$3:AB97)&gt;(ROWS($AB$3:$AB$229)-COUNTBLANK($AB$3:$AB$229)),"",INDEX($AB$3:$AB$229,SMALL(IF($AB$3:$AB$229&lt;&gt;"",ROW($AB$3:$AB$229)-2),ROWS($AB$3:AB97))))</f>
        <v>#N/A</v>
      </c>
      <c r="AX97">
        <v>166</v>
      </c>
      <c r="AY97">
        <v>1</v>
      </c>
      <c r="AZ97">
        <v>1</v>
      </c>
      <c r="BA97">
        <f>IF(Wycena!$C$16=78,Mapping!AY97,AZ97)</f>
        <v>1</v>
      </c>
      <c r="BD97">
        <v>274</v>
      </c>
      <c r="BE97">
        <v>1</v>
      </c>
      <c r="BF97">
        <v>1</v>
      </c>
      <c r="BG97">
        <f>IF(Wycena!$C$16=78,Mapping!BE97,BF97)</f>
        <v>1</v>
      </c>
      <c r="GM97" t="s">
        <v>442</v>
      </c>
      <c r="GN97" t="s">
        <v>468</v>
      </c>
    </row>
    <row r="98" spans="1:196" x14ac:dyDescent="0.35">
      <c r="A98" t="s">
        <v>180</v>
      </c>
      <c r="B98">
        <v>20</v>
      </c>
      <c r="C98">
        <v>20</v>
      </c>
      <c r="D98" t="s">
        <v>263</v>
      </c>
      <c r="E98" t="s">
        <v>263</v>
      </c>
      <c r="F98">
        <v>20</v>
      </c>
      <c r="G98">
        <v>28</v>
      </c>
      <c r="H98">
        <v>36</v>
      </c>
      <c r="I98">
        <v>36</v>
      </c>
      <c r="Y98" t="s">
        <v>640</v>
      </c>
      <c r="Z98">
        <v>500</v>
      </c>
      <c r="AA98" t="str">
        <f t="shared" si="15"/>
        <v>RAL 4009</v>
      </c>
      <c r="AB98" t="str">
        <f>IF((VLOOKUP(Wycena!$C$7,Mapping!$Q$15:$R$20,2,0))="tak","",AA98)</f>
        <v>RAL 4009</v>
      </c>
      <c r="AC98" t="e" cm="1">
        <f t="array" ref="AC98">IF(ROWS($AB$3:AB98)&gt;(ROWS($AB$3:$AB$229)-COUNTBLANK($AB$3:$AB$229)),"",INDEX($AB$3:$AB$229,SMALL(IF($AB$3:$AB$229&lt;&gt;"",ROW($AB$3:$AB$229)-2),ROWS($AB$3:AB98))))</f>
        <v>#N/A</v>
      </c>
      <c r="AX98">
        <v>167</v>
      </c>
      <c r="AY98">
        <v>1</v>
      </c>
      <c r="AZ98">
        <v>1</v>
      </c>
      <c r="BA98">
        <f>IF(Wycena!$C$16=78,Mapping!AY98,AZ98)</f>
        <v>1</v>
      </c>
      <c r="BD98">
        <v>275</v>
      </c>
      <c r="BE98">
        <v>1</v>
      </c>
      <c r="BF98">
        <v>1</v>
      </c>
      <c r="BG98">
        <f>IF(Wycena!$C$16=78,Mapping!BE98,BF98)</f>
        <v>1</v>
      </c>
      <c r="GM98" t="s">
        <v>442</v>
      </c>
      <c r="GN98" t="s">
        <v>469</v>
      </c>
    </row>
    <row r="99" spans="1:196" x14ac:dyDescent="0.35">
      <c r="A99" t="s">
        <v>181</v>
      </c>
      <c r="B99">
        <v>20</v>
      </c>
      <c r="C99">
        <v>20</v>
      </c>
      <c r="D99" t="s">
        <v>263</v>
      </c>
      <c r="E99" t="s">
        <v>263</v>
      </c>
      <c r="F99">
        <v>20</v>
      </c>
      <c r="G99">
        <v>28</v>
      </c>
      <c r="H99">
        <v>36</v>
      </c>
      <c r="I99">
        <v>36</v>
      </c>
      <c r="Y99" t="s">
        <v>641</v>
      </c>
      <c r="Z99">
        <v>500</v>
      </c>
      <c r="AA99" t="str">
        <f t="shared" si="15"/>
        <v>RAL 4010</v>
      </c>
      <c r="AB99" t="str">
        <f>IF((VLOOKUP(Wycena!$C$7,Mapping!$Q$15:$R$20,2,0))="tak","",AA99)</f>
        <v>RAL 4010</v>
      </c>
      <c r="AC99" t="e" cm="1">
        <f t="array" ref="AC99">IF(ROWS($AB$3:AB99)&gt;(ROWS($AB$3:$AB$229)-COUNTBLANK($AB$3:$AB$229)),"",INDEX($AB$3:$AB$229,SMALL(IF($AB$3:$AB$229&lt;&gt;"",ROW($AB$3:$AB$229)-2),ROWS($AB$3:AB99))))</f>
        <v>#N/A</v>
      </c>
      <c r="AX99">
        <v>168</v>
      </c>
      <c r="AY99">
        <v>1</v>
      </c>
      <c r="AZ99">
        <v>1</v>
      </c>
      <c r="BA99">
        <f>IF(Wycena!$C$16=78,Mapping!AY99,AZ99)</f>
        <v>1</v>
      </c>
      <c r="BD99">
        <v>276</v>
      </c>
      <c r="BE99">
        <v>1</v>
      </c>
      <c r="BF99">
        <v>1</v>
      </c>
      <c r="BG99">
        <f>IF(Wycena!$C$16=78,Mapping!BE99,BF99)</f>
        <v>1</v>
      </c>
      <c r="GM99" t="s">
        <v>802</v>
      </c>
      <c r="GN99" t="s">
        <v>466</v>
      </c>
    </row>
    <row r="100" spans="1:196" x14ac:dyDescent="0.35">
      <c r="A100" t="s">
        <v>182</v>
      </c>
      <c r="B100">
        <v>20</v>
      </c>
      <c r="C100">
        <v>20</v>
      </c>
      <c r="D100" t="s">
        <v>263</v>
      </c>
      <c r="E100" t="s">
        <v>263</v>
      </c>
      <c r="F100">
        <v>20</v>
      </c>
      <c r="G100">
        <v>28</v>
      </c>
      <c r="H100">
        <v>36</v>
      </c>
      <c r="I100">
        <v>36</v>
      </c>
      <c r="Y100" t="s">
        <v>642</v>
      </c>
      <c r="Z100">
        <v>500</v>
      </c>
      <c r="AA100" t="str">
        <f t="shared" si="15"/>
        <v>RAL 4011</v>
      </c>
      <c r="AB100" t="str">
        <f>IF((VLOOKUP(Wycena!$C$7,Mapping!$Q$15:$R$20,2,0))="tak","",AA100)</f>
        <v>RAL 4011</v>
      </c>
      <c r="AC100" t="e" cm="1">
        <f t="array" ref="AC100">IF(ROWS($AB$3:AB100)&gt;(ROWS($AB$3:$AB$229)-COUNTBLANK($AB$3:$AB$229)),"",INDEX($AB$3:$AB$229,SMALL(IF($AB$3:$AB$229&lt;&gt;"",ROW($AB$3:$AB$229)-2),ROWS($AB$3:AB100))))</f>
        <v>#N/A</v>
      </c>
      <c r="AX100">
        <v>169</v>
      </c>
      <c r="AY100">
        <v>1</v>
      </c>
      <c r="AZ100">
        <v>1</v>
      </c>
      <c r="BA100">
        <f>IF(Wycena!$C$16=78,Mapping!AY100,AZ100)</f>
        <v>1</v>
      </c>
      <c r="BD100">
        <v>277</v>
      </c>
      <c r="BE100">
        <v>1</v>
      </c>
      <c r="BF100">
        <v>1</v>
      </c>
      <c r="BG100">
        <f>IF(Wycena!$C$16=78,Mapping!BE100,BF100)</f>
        <v>1</v>
      </c>
    </row>
    <row r="101" spans="1:196" x14ac:dyDescent="0.35">
      <c r="A101" t="s">
        <v>6</v>
      </c>
      <c r="B101">
        <v>20</v>
      </c>
      <c r="C101">
        <v>20</v>
      </c>
      <c r="D101" t="s">
        <v>263</v>
      </c>
      <c r="E101" t="s">
        <v>263</v>
      </c>
      <c r="F101">
        <v>20</v>
      </c>
      <c r="G101">
        <v>28</v>
      </c>
      <c r="H101">
        <v>36</v>
      </c>
      <c r="I101">
        <v>36</v>
      </c>
      <c r="Y101" t="s">
        <v>643</v>
      </c>
      <c r="Z101">
        <v>500</v>
      </c>
      <c r="AA101" t="str">
        <f t="shared" si="15"/>
        <v>RAL 4012</v>
      </c>
      <c r="AB101" t="str">
        <f>IF((VLOOKUP(Wycena!$C$7,Mapping!$Q$15:$R$20,2,0))="tak","",AA101)</f>
        <v>RAL 4012</v>
      </c>
      <c r="AC101" t="e" cm="1">
        <f t="array" ref="AC101">IF(ROWS($AB$3:AB101)&gt;(ROWS($AB$3:$AB$229)-COUNTBLANK($AB$3:$AB$229)),"",INDEX($AB$3:$AB$229,SMALL(IF($AB$3:$AB$229&lt;&gt;"",ROW($AB$3:$AB$229)-2),ROWS($AB$3:AB101))))</f>
        <v>#N/A</v>
      </c>
      <c r="AX101">
        <v>170</v>
      </c>
      <c r="AY101">
        <v>1</v>
      </c>
      <c r="AZ101">
        <v>1</v>
      </c>
      <c r="BA101">
        <f>IF(Wycena!$C$16=78,Mapping!AY101,AZ101)</f>
        <v>1</v>
      </c>
      <c r="BD101">
        <v>278</v>
      </c>
      <c r="BE101">
        <v>1</v>
      </c>
      <c r="BF101">
        <v>1</v>
      </c>
      <c r="BG101">
        <f>IF(Wycena!$C$16=78,Mapping!BE101,BF101)</f>
        <v>1</v>
      </c>
    </row>
    <row r="102" spans="1:196" x14ac:dyDescent="0.35">
      <c r="A102" t="s">
        <v>183</v>
      </c>
      <c r="B102">
        <v>20</v>
      </c>
      <c r="C102">
        <v>20</v>
      </c>
      <c r="D102" t="s">
        <v>263</v>
      </c>
      <c r="E102" t="s">
        <v>263</v>
      </c>
      <c r="F102">
        <v>20</v>
      </c>
      <c r="G102">
        <v>28</v>
      </c>
      <c r="H102">
        <v>36</v>
      </c>
      <c r="I102">
        <v>36</v>
      </c>
      <c r="Y102" t="s">
        <v>644</v>
      </c>
      <c r="Z102">
        <v>500</v>
      </c>
      <c r="AA102" t="str">
        <f t="shared" si="15"/>
        <v>RAL 5000</v>
      </c>
      <c r="AB102" t="str">
        <f>IF((VLOOKUP(Wycena!$C$7,Mapping!$Q$15:$R$20,2,0))="tak","",AA102)</f>
        <v>RAL 5000</v>
      </c>
      <c r="AC102" t="e" cm="1">
        <f t="array" ref="AC102">IF(ROWS($AB$3:AB102)&gt;(ROWS($AB$3:$AB$229)-COUNTBLANK($AB$3:$AB$229)),"",INDEX($AB$3:$AB$229,SMALL(IF($AB$3:$AB$229&lt;&gt;"",ROW($AB$3:$AB$229)-2),ROWS($AB$3:AB102))))</f>
        <v>#N/A</v>
      </c>
      <c r="AX102">
        <v>171</v>
      </c>
      <c r="AY102">
        <v>1</v>
      </c>
      <c r="AZ102">
        <v>1</v>
      </c>
      <c r="BA102">
        <f>IF(Wycena!$C$16=78,Mapping!AY102,AZ102)</f>
        <v>1</v>
      </c>
      <c r="BD102">
        <v>279</v>
      </c>
      <c r="BE102">
        <v>1</v>
      </c>
      <c r="BF102">
        <v>1</v>
      </c>
      <c r="BG102">
        <f>IF(Wycena!$C$16=78,Mapping!BE102,BF102)</f>
        <v>1</v>
      </c>
    </row>
    <row r="103" spans="1:196" x14ac:dyDescent="0.35">
      <c r="A103" t="s">
        <v>184</v>
      </c>
      <c r="B103">
        <v>20</v>
      </c>
      <c r="C103">
        <v>20</v>
      </c>
      <c r="D103" t="s">
        <v>263</v>
      </c>
      <c r="E103" t="s">
        <v>263</v>
      </c>
      <c r="F103">
        <v>20</v>
      </c>
      <c r="G103">
        <v>28</v>
      </c>
      <c r="H103">
        <v>36</v>
      </c>
      <c r="I103">
        <v>36</v>
      </c>
      <c r="Y103" t="s">
        <v>645</v>
      </c>
      <c r="Z103">
        <v>500</v>
      </c>
      <c r="AA103" t="str">
        <f t="shared" si="15"/>
        <v>RAL 5001</v>
      </c>
      <c r="AB103" t="str">
        <f>IF((VLOOKUP(Wycena!$C$7,Mapping!$Q$15:$R$20,2,0))="tak","",AA103)</f>
        <v>RAL 5001</v>
      </c>
      <c r="AC103" t="e" cm="1">
        <f t="array" ref="AC103">IF(ROWS($AB$3:AB103)&gt;(ROWS($AB$3:$AB$229)-COUNTBLANK($AB$3:$AB$229)),"",INDEX($AB$3:$AB$229,SMALL(IF($AB$3:$AB$229&lt;&gt;"",ROW($AB$3:$AB$229)-2),ROWS($AB$3:AB103))))</f>
        <v>#N/A</v>
      </c>
      <c r="AX103">
        <v>172</v>
      </c>
      <c r="AY103">
        <v>1</v>
      </c>
      <c r="AZ103">
        <v>1</v>
      </c>
      <c r="BA103">
        <f>IF(Wycena!$C$16=78,Mapping!AY103,AZ103)</f>
        <v>1</v>
      </c>
      <c r="BD103">
        <v>280</v>
      </c>
      <c r="BE103">
        <v>1</v>
      </c>
      <c r="BF103">
        <v>1</v>
      </c>
      <c r="BG103">
        <f>IF(Wycena!$C$16=78,Mapping!BE103,BF103)</f>
        <v>1</v>
      </c>
    </row>
    <row r="104" spans="1:196" x14ac:dyDescent="0.35">
      <c r="A104" t="s">
        <v>185</v>
      </c>
      <c r="B104">
        <v>20</v>
      </c>
      <c r="C104">
        <v>20</v>
      </c>
      <c r="D104" t="s">
        <v>263</v>
      </c>
      <c r="E104" t="s">
        <v>263</v>
      </c>
      <c r="F104">
        <v>20</v>
      </c>
      <c r="G104">
        <v>28</v>
      </c>
      <c r="H104">
        <v>36</v>
      </c>
      <c r="I104">
        <v>36</v>
      </c>
      <c r="Y104" t="s">
        <v>646</v>
      </c>
      <c r="Z104">
        <v>500</v>
      </c>
      <c r="AA104" t="str">
        <f t="shared" si="15"/>
        <v>RAL 5002</v>
      </c>
      <c r="AB104" t="str">
        <f>IF((VLOOKUP(Wycena!$C$7,Mapping!$Q$15:$R$20,2,0))="tak","",AA104)</f>
        <v>RAL 5002</v>
      </c>
      <c r="AC104" t="e" cm="1">
        <f t="array" ref="AC104">IF(ROWS($AB$3:AB104)&gt;(ROWS($AB$3:$AB$229)-COUNTBLANK($AB$3:$AB$229)),"",INDEX($AB$3:$AB$229,SMALL(IF($AB$3:$AB$229&lt;&gt;"",ROW($AB$3:$AB$229)-2),ROWS($AB$3:AB104))))</f>
        <v>#N/A</v>
      </c>
      <c r="AX104">
        <v>173</v>
      </c>
      <c r="AY104">
        <v>1</v>
      </c>
      <c r="AZ104">
        <v>1</v>
      </c>
      <c r="BA104">
        <f>IF(Wycena!$C$16=78,Mapping!AY104,AZ104)</f>
        <v>1</v>
      </c>
      <c r="BD104">
        <v>281</v>
      </c>
      <c r="BE104">
        <v>1</v>
      </c>
      <c r="BF104">
        <v>1</v>
      </c>
      <c r="BG104">
        <f>IF(Wycena!$C$16=78,Mapping!BE104,BF104)</f>
        <v>1</v>
      </c>
    </row>
    <row r="105" spans="1:196" x14ac:dyDescent="0.35">
      <c r="A105" t="s">
        <v>186</v>
      </c>
      <c r="B105">
        <v>20</v>
      </c>
      <c r="C105">
        <v>20</v>
      </c>
      <c r="D105" t="s">
        <v>263</v>
      </c>
      <c r="E105" t="s">
        <v>263</v>
      </c>
      <c r="F105">
        <v>20</v>
      </c>
      <c r="G105">
        <v>28</v>
      </c>
      <c r="H105">
        <v>36</v>
      </c>
      <c r="I105">
        <v>36</v>
      </c>
      <c r="Y105" t="s">
        <v>647</v>
      </c>
      <c r="Z105">
        <v>500</v>
      </c>
      <c r="AA105" t="str">
        <f t="shared" si="15"/>
        <v>RAL 5003</v>
      </c>
      <c r="AB105" t="str">
        <f>IF((VLOOKUP(Wycena!$C$7,Mapping!$Q$15:$R$20,2,0))="tak","",AA105)</f>
        <v>RAL 5003</v>
      </c>
      <c r="AC105" t="e" cm="1">
        <f t="array" ref="AC105">IF(ROWS($AB$3:AB105)&gt;(ROWS($AB$3:$AB$229)-COUNTBLANK($AB$3:$AB$229)),"",INDEX($AB$3:$AB$229,SMALL(IF($AB$3:$AB$229&lt;&gt;"",ROW($AB$3:$AB$229)-2),ROWS($AB$3:AB105))))</f>
        <v>#N/A</v>
      </c>
      <c r="AX105">
        <v>174</v>
      </c>
      <c r="AY105">
        <v>1</v>
      </c>
      <c r="AZ105">
        <v>1</v>
      </c>
      <c r="BA105">
        <f>IF(Wycena!$C$16=78,Mapping!AY105,AZ105)</f>
        <v>1</v>
      </c>
      <c r="BD105">
        <v>282</v>
      </c>
      <c r="BE105">
        <v>1</v>
      </c>
      <c r="BF105">
        <v>1</v>
      </c>
      <c r="BG105">
        <f>IF(Wycena!$C$16=78,Mapping!BE105,BF105)</f>
        <v>1</v>
      </c>
    </row>
    <row r="106" spans="1:196" x14ac:dyDescent="0.35">
      <c r="A106" t="s">
        <v>187</v>
      </c>
      <c r="B106">
        <v>20</v>
      </c>
      <c r="C106">
        <v>20</v>
      </c>
      <c r="D106" t="s">
        <v>263</v>
      </c>
      <c r="E106" t="s">
        <v>263</v>
      </c>
      <c r="F106">
        <v>20</v>
      </c>
      <c r="G106">
        <v>48</v>
      </c>
      <c r="H106">
        <v>58</v>
      </c>
      <c r="I106">
        <v>58</v>
      </c>
      <c r="Y106" t="s">
        <v>648</v>
      </c>
      <c r="Z106">
        <v>500</v>
      </c>
      <c r="AA106" t="str">
        <f t="shared" si="15"/>
        <v>RAL 5004</v>
      </c>
      <c r="AB106" t="str">
        <f>IF((VLOOKUP(Wycena!$C$7,Mapping!$Q$15:$R$20,2,0))="tak","",AA106)</f>
        <v>RAL 5004</v>
      </c>
      <c r="AC106" t="e" cm="1">
        <f t="array" ref="AC106">IF(ROWS($AB$3:AB106)&gt;(ROWS($AB$3:$AB$229)-COUNTBLANK($AB$3:$AB$229)),"",INDEX($AB$3:$AB$229,SMALL(IF($AB$3:$AB$229&lt;&gt;"",ROW($AB$3:$AB$229)-2),ROWS($AB$3:AB106))))</f>
        <v>#N/A</v>
      </c>
      <c r="AX106">
        <v>175</v>
      </c>
      <c r="AY106">
        <v>1</v>
      </c>
      <c r="AZ106">
        <v>1</v>
      </c>
      <c r="BA106">
        <f>IF(Wycena!$C$16=78,Mapping!AY106,AZ106)</f>
        <v>1</v>
      </c>
      <c r="BD106">
        <v>283</v>
      </c>
      <c r="BE106">
        <v>1</v>
      </c>
      <c r="BF106">
        <v>1</v>
      </c>
      <c r="BG106">
        <f>IF(Wycena!$C$16=78,Mapping!BE106,BF106)</f>
        <v>1</v>
      </c>
    </row>
    <row r="107" spans="1:196" x14ac:dyDescent="0.35">
      <c r="A107" t="s">
        <v>188</v>
      </c>
      <c r="B107">
        <v>20</v>
      </c>
      <c r="C107">
        <v>20</v>
      </c>
      <c r="D107" t="s">
        <v>263</v>
      </c>
      <c r="E107" t="s">
        <v>263</v>
      </c>
      <c r="F107">
        <v>20</v>
      </c>
      <c r="G107">
        <v>28</v>
      </c>
      <c r="H107">
        <v>36</v>
      </c>
      <c r="I107">
        <v>36</v>
      </c>
      <c r="Y107" t="s">
        <v>649</v>
      </c>
      <c r="Z107">
        <v>500</v>
      </c>
      <c r="AA107" t="str">
        <f t="shared" si="15"/>
        <v>RAL 5005</v>
      </c>
      <c r="AB107" t="str">
        <f>IF((VLOOKUP(Wycena!$C$7,Mapping!$Q$15:$R$20,2,0))="tak","",AA107)</f>
        <v>RAL 5005</v>
      </c>
      <c r="AC107" t="e" cm="1">
        <f t="array" ref="AC107">IF(ROWS($AB$3:AB107)&gt;(ROWS($AB$3:$AB$229)-COUNTBLANK($AB$3:$AB$229)),"",INDEX($AB$3:$AB$229,SMALL(IF($AB$3:$AB$229&lt;&gt;"",ROW($AB$3:$AB$229)-2),ROWS($AB$3:AB107))))</f>
        <v>#N/A</v>
      </c>
      <c r="AX107">
        <v>176</v>
      </c>
      <c r="AY107">
        <v>1</v>
      </c>
      <c r="AZ107">
        <v>1</v>
      </c>
      <c r="BA107">
        <f>IF(Wycena!$C$16=78,Mapping!AY107,AZ107)</f>
        <v>1</v>
      </c>
      <c r="BD107">
        <v>284</v>
      </c>
      <c r="BE107">
        <v>1</v>
      </c>
      <c r="BF107">
        <v>1</v>
      </c>
      <c r="BG107">
        <f>IF(Wycena!$C$16=78,Mapping!BE107,BF107)</f>
        <v>1</v>
      </c>
    </row>
    <row r="108" spans="1:196" x14ac:dyDescent="0.35">
      <c r="A108" t="s">
        <v>189</v>
      </c>
      <c r="B108">
        <v>20</v>
      </c>
      <c r="C108">
        <v>20</v>
      </c>
      <c r="D108" t="s">
        <v>263</v>
      </c>
      <c r="E108" t="s">
        <v>263</v>
      </c>
      <c r="F108">
        <v>20</v>
      </c>
      <c r="G108">
        <v>28</v>
      </c>
      <c r="H108">
        <v>36</v>
      </c>
      <c r="I108">
        <v>36</v>
      </c>
      <c r="Y108" t="s">
        <v>650</v>
      </c>
      <c r="Z108">
        <v>500</v>
      </c>
      <c r="AA108" t="str">
        <f t="shared" si="15"/>
        <v>RAL 5007</v>
      </c>
      <c r="AB108" t="str">
        <f>IF((VLOOKUP(Wycena!$C$7,Mapping!$Q$15:$R$20,2,0))="tak","",AA108)</f>
        <v>RAL 5007</v>
      </c>
      <c r="AC108" t="e" cm="1">
        <f t="array" ref="AC108">IF(ROWS($AB$3:AB108)&gt;(ROWS($AB$3:$AB$229)-COUNTBLANK($AB$3:$AB$229)),"",INDEX($AB$3:$AB$229,SMALL(IF($AB$3:$AB$229&lt;&gt;"",ROW($AB$3:$AB$229)-2),ROWS($AB$3:AB108))))</f>
        <v>#N/A</v>
      </c>
      <c r="AX108">
        <v>177</v>
      </c>
      <c r="AY108">
        <v>1</v>
      </c>
      <c r="AZ108">
        <v>1</v>
      </c>
      <c r="BA108">
        <f>IF(Wycena!$C$16=78,Mapping!AY108,AZ108)</f>
        <v>1</v>
      </c>
      <c r="BD108">
        <v>285</v>
      </c>
      <c r="BE108">
        <v>1</v>
      </c>
      <c r="BF108">
        <v>1</v>
      </c>
      <c r="BG108">
        <f>IF(Wycena!$C$16=78,Mapping!BE108,BF108)</f>
        <v>1</v>
      </c>
    </row>
    <row r="109" spans="1:196" x14ac:dyDescent="0.35">
      <c r="A109" t="s">
        <v>190</v>
      </c>
      <c r="B109">
        <v>20</v>
      </c>
      <c r="C109">
        <v>20</v>
      </c>
      <c r="D109" t="s">
        <v>263</v>
      </c>
      <c r="E109" t="s">
        <v>263</v>
      </c>
      <c r="F109">
        <v>20</v>
      </c>
      <c r="G109">
        <v>28</v>
      </c>
      <c r="H109">
        <v>36</v>
      </c>
      <c r="I109">
        <v>36</v>
      </c>
      <c r="Y109" t="s">
        <v>651</v>
      </c>
      <c r="Z109">
        <v>500</v>
      </c>
      <c r="AA109" t="str">
        <f t="shared" si="15"/>
        <v>RAL 5008</v>
      </c>
      <c r="AB109" t="str">
        <f>IF((VLOOKUP(Wycena!$C$7,Mapping!$Q$15:$R$20,2,0))="tak","",AA109)</f>
        <v>RAL 5008</v>
      </c>
      <c r="AC109" t="e" cm="1">
        <f t="array" ref="AC109">IF(ROWS($AB$3:AB109)&gt;(ROWS($AB$3:$AB$229)-COUNTBLANK($AB$3:$AB$229)),"",INDEX($AB$3:$AB$229,SMALL(IF($AB$3:$AB$229&lt;&gt;"",ROW($AB$3:$AB$229)-2),ROWS($AB$3:AB109))))</f>
        <v>#N/A</v>
      </c>
      <c r="AX109">
        <v>178</v>
      </c>
      <c r="AY109">
        <v>1</v>
      </c>
      <c r="AZ109">
        <v>1</v>
      </c>
      <c r="BA109">
        <f>IF(Wycena!$C$16=78,Mapping!AY109,AZ109)</f>
        <v>1</v>
      </c>
      <c r="BD109">
        <v>286</v>
      </c>
      <c r="BE109">
        <v>1</v>
      </c>
      <c r="BF109">
        <v>1</v>
      </c>
      <c r="BG109">
        <f>IF(Wycena!$C$16=78,Mapping!BE109,BF109)</f>
        <v>1</v>
      </c>
    </row>
    <row r="110" spans="1:196" x14ac:dyDescent="0.35">
      <c r="A110" t="s">
        <v>352</v>
      </c>
      <c r="B110">
        <v>20</v>
      </c>
      <c r="C110">
        <v>20</v>
      </c>
      <c r="D110" t="s">
        <v>263</v>
      </c>
      <c r="E110" t="s">
        <v>263</v>
      </c>
      <c r="F110">
        <v>20</v>
      </c>
      <c r="G110">
        <v>28</v>
      </c>
      <c r="H110">
        <v>36</v>
      </c>
      <c r="I110">
        <v>36</v>
      </c>
      <c r="Y110" t="s">
        <v>652</v>
      </c>
      <c r="Z110">
        <v>500</v>
      </c>
      <c r="AA110" t="str">
        <f t="shared" si="15"/>
        <v>RAL 5009</v>
      </c>
      <c r="AB110" t="str">
        <f>IF((VLOOKUP(Wycena!$C$7,Mapping!$Q$15:$R$20,2,0))="tak","",AA110)</f>
        <v>RAL 5009</v>
      </c>
      <c r="AC110" t="e" cm="1">
        <f t="array" ref="AC110">IF(ROWS($AB$3:AB110)&gt;(ROWS($AB$3:$AB$229)-COUNTBLANK($AB$3:$AB$229)),"",INDEX($AB$3:$AB$229,SMALL(IF($AB$3:$AB$229&lt;&gt;"",ROW($AB$3:$AB$229)-2),ROWS($AB$3:AB110))))</f>
        <v>#N/A</v>
      </c>
      <c r="AX110">
        <v>179</v>
      </c>
      <c r="AY110">
        <v>1</v>
      </c>
      <c r="AZ110">
        <v>1</v>
      </c>
      <c r="BA110">
        <f>IF(Wycena!$C$16=78,Mapping!AY110,AZ110)</f>
        <v>1</v>
      </c>
      <c r="BD110">
        <v>287</v>
      </c>
      <c r="BE110">
        <v>1</v>
      </c>
      <c r="BF110">
        <v>1</v>
      </c>
      <c r="BG110">
        <f>IF(Wycena!$C$16=78,Mapping!BE110,BF110)</f>
        <v>1</v>
      </c>
    </row>
    <row r="111" spans="1:196" x14ac:dyDescent="0.35">
      <c r="A111" t="s">
        <v>191</v>
      </c>
      <c r="B111">
        <v>20</v>
      </c>
      <c r="C111">
        <v>20</v>
      </c>
      <c r="D111" t="s">
        <v>263</v>
      </c>
      <c r="E111" t="s">
        <v>263</v>
      </c>
      <c r="F111">
        <v>20</v>
      </c>
      <c r="G111">
        <v>38</v>
      </c>
      <c r="H111">
        <v>46</v>
      </c>
      <c r="I111">
        <v>46</v>
      </c>
      <c r="Y111" t="s">
        <v>653</v>
      </c>
      <c r="Z111">
        <v>500</v>
      </c>
      <c r="AA111" t="str">
        <f t="shared" si="15"/>
        <v>RAL 5010</v>
      </c>
      <c r="AB111" t="str">
        <f>IF((VLOOKUP(Wycena!$C$7,Mapping!$Q$15:$R$20,2,0))="tak","",AA111)</f>
        <v>RAL 5010</v>
      </c>
      <c r="AC111" t="e" cm="1">
        <f t="array" ref="AC111">IF(ROWS($AB$3:AB111)&gt;(ROWS($AB$3:$AB$229)-COUNTBLANK($AB$3:$AB$229)),"",INDEX($AB$3:$AB$229,SMALL(IF($AB$3:$AB$229&lt;&gt;"",ROW($AB$3:$AB$229)-2),ROWS($AB$3:AB111))))</f>
        <v>#N/A</v>
      </c>
      <c r="AX111">
        <v>180</v>
      </c>
      <c r="AY111">
        <v>1</v>
      </c>
      <c r="AZ111">
        <v>1</v>
      </c>
      <c r="BA111">
        <f>IF(Wycena!$C$16=78,Mapping!AY111,AZ111)</f>
        <v>1</v>
      </c>
      <c r="BD111">
        <v>288</v>
      </c>
      <c r="BE111">
        <v>1</v>
      </c>
      <c r="BF111">
        <v>1</v>
      </c>
      <c r="BG111">
        <f>IF(Wycena!$C$16=78,Mapping!BE111,BF111)</f>
        <v>1</v>
      </c>
    </row>
    <row r="112" spans="1:196" x14ac:dyDescent="0.35">
      <c r="A112" t="s">
        <v>192</v>
      </c>
      <c r="B112">
        <v>20</v>
      </c>
      <c r="C112">
        <v>20</v>
      </c>
      <c r="D112" t="s">
        <v>263</v>
      </c>
      <c r="E112" t="s">
        <v>263</v>
      </c>
      <c r="F112">
        <v>20</v>
      </c>
      <c r="G112">
        <v>48</v>
      </c>
      <c r="H112">
        <v>58</v>
      </c>
      <c r="I112">
        <v>58</v>
      </c>
      <c r="Y112" t="s">
        <v>654</v>
      </c>
      <c r="Z112">
        <v>500</v>
      </c>
      <c r="AA112" t="str">
        <f t="shared" si="15"/>
        <v>RAL 5011</v>
      </c>
      <c r="AB112" t="str">
        <f>IF((VLOOKUP(Wycena!$C$7,Mapping!$Q$15:$R$20,2,0))="tak","",AA112)</f>
        <v>RAL 5011</v>
      </c>
      <c r="AC112" t="e" cm="1">
        <f t="array" ref="AC112">IF(ROWS($AB$3:AB112)&gt;(ROWS($AB$3:$AB$229)-COUNTBLANK($AB$3:$AB$229)),"",INDEX($AB$3:$AB$229,SMALL(IF($AB$3:$AB$229&lt;&gt;"",ROW($AB$3:$AB$229)-2),ROWS($AB$3:AB112))))</f>
        <v>#N/A</v>
      </c>
      <c r="AX112">
        <v>181</v>
      </c>
      <c r="AY112">
        <v>1</v>
      </c>
      <c r="AZ112">
        <v>1</v>
      </c>
      <c r="BA112">
        <f>IF(Wycena!$C$16=78,Mapping!AY112,AZ112)</f>
        <v>1</v>
      </c>
      <c r="BD112">
        <v>289</v>
      </c>
      <c r="BE112">
        <v>1</v>
      </c>
      <c r="BF112">
        <v>1</v>
      </c>
      <c r="BG112">
        <f>IF(Wycena!$C$16=78,Mapping!BE112,BF112)</f>
        <v>1</v>
      </c>
    </row>
    <row r="113" spans="1:59" x14ac:dyDescent="0.35">
      <c r="A113" t="s">
        <v>193</v>
      </c>
      <c r="B113">
        <v>20</v>
      </c>
      <c r="C113">
        <v>20</v>
      </c>
      <c r="D113" t="s">
        <v>263</v>
      </c>
      <c r="E113" t="s">
        <v>263</v>
      </c>
      <c r="F113">
        <v>20</v>
      </c>
      <c r="G113">
        <v>28</v>
      </c>
      <c r="H113">
        <v>36</v>
      </c>
      <c r="I113">
        <v>36</v>
      </c>
      <c r="Y113" t="s">
        <v>655</v>
      </c>
      <c r="Z113">
        <v>500</v>
      </c>
      <c r="AA113" t="str">
        <f t="shared" si="15"/>
        <v>RAL 5012</v>
      </c>
      <c r="AB113" t="str">
        <f>IF((VLOOKUP(Wycena!$C$7,Mapping!$Q$15:$R$20,2,0))="tak","",AA113)</f>
        <v>RAL 5012</v>
      </c>
      <c r="AC113" t="e" cm="1">
        <f t="array" ref="AC113">IF(ROWS($AB$3:AB113)&gt;(ROWS($AB$3:$AB$229)-COUNTBLANK($AB$3:$AB$229)),"",INDEX($AB$3:$AB$229,SMALL(IF($AB$3:$AB$229&lt;&gt;"",ROW($AB$3:$AB$229)-2),ROWS($AB$3:AB113))))</f>
        <v>#N/A</v>
      </c>
      <c r="AX113">
        <v>182</v>
      </c>
      <c r="AY113">
        <v>1</v>
      </c>
      <c r="AZ113">
        <v>1</v>
      </c>
      <c r="BA113">
        <f>IF(Wycena!$C$16=78,Mapping!AY113,AZ113)</f>
        <v>1</v>
      </c>
      <c r="BD113">
        <v>290</v>
      </c>
      <c r="BE113">
        <v>1</v>
      </c>
      <c r="BF113">
        <v>1</v>
      </c>
      <c r="BG113">
        <f>IF(Wycena!$C$16=78,Mapping!BE113,BF113)</f>
        <v>1</v>
      </c>
    </row>
    <row r="114" spans="1:59" x14ac:dyDescent="0.35">
      <c r="A114" t="s">
        <v>194</v>
      </c>
      <c r="B114">
        <v>20</v>
      </c>
      <c r="C114">
        <v>20</v>
      </c>
      <c r="D114" t="s">
        <v>263</v>
      </c>
      <c r="E114" t="s">
        <v>263</v>
      </c>
      <c r="F114">
        <v>20</v>
      </c>
      <c r="G114">
        <v>28</v>
      </c>
      <c r="H114">
        <v>36</v>
      </c>
      <c r="I114">
        <v>36</v>
      </c>
      <c r="Y114" t="s">
        <v>656</v>
      </c>
      <c r="Z114">
        <v>500</v>
      </c>
      <c r="AA114" t="str">
        <f t="shared" si="15"/>
        <v>RAL 5013</v>
      </c>
      <c r="AB114" t="str">
        <f>IF((VLOOKUP(Wycena!$C$7,Mapping!$Q$15:$R$20,2,0))="tak","",AA114)</f>
        <v>RAL 5013</v>
      </c>
      <c r="AC114" t="e" cm="1">
        <f t="array" ref="AC114">IF(ROWS($AB$3:AB114)&gt;(ROWS($AB$3:$AB$229)-COUNTBLANK($AB$3:$AB$229)),"",INDEX($AB$3:$AB$229,SMALL(IF($AB$3:$AB$229&lt;&gt;"",ROW($AB$3:$AB$229)-2),ROWS($AB$3:AB114))))</f>
        <v>#N/A</v>
      </c>
      <c r="AX114">
        <v>183</v>
      </c>
      <c r="AY114">
        <v>1</v>
      </c>
      <c r="AZ114">
        <v>1</v>
      </c>
      <c r="BA114">
        <f>IF(Wycena!$C$16=78,Mapping!AY114,AZ114)</f>
        <v>1</v>
      </c>
      <c r="BD114">
        <v>291</v>
      </c>
      <c r="BE114">
        <v>1</v>
      </c>
      <c r="BF114">
        <v>1</v>
      </c>
      <c r="BG114">
        <f>IF(Wycena!$C$16=78,Mapping!BE114,BF114)</f>
        <v>1</v>
      </c>
    </row>
    <row r="115" spans="1:59" x14ac:dyDescent="0.35">
      <c r="A115" t="s">
        <v>195</v>
      </c>
      <c r="B115">
        <v>20</v>
      </c>
      <c r="C115">
        <v>20</v>
      </c>
      <c r="D115" t="s">
        <v>263</v>
      </c>
      <c r="E115" t="s">
        <v>263</v>
      </c>
      <c r="F115">
        <v>20</v>
      </c>
      <c r="G115">
        <v>28</v>
      </c>
      <c r="H115">
        <v>36</v>
      </c>
      <c r="I115">
        <v>36</v>
      </c>
      <c r="Y115" t="s">
        <v>657</v>
      </c>
      <c r="Z115">
        <v>500</v>
      </c>
      <c r="AA115" t="str">
        <f t="shared" si="15"/>
        <v>RAL 5014</v>
      </c>
      <c r="AB115" t="str">
        <f>IF((VLOOKUP(Wycena!$C$7,Mapping!$Q$15:$R$20,2,0))="tak","",AA115)</f>
        <v>RAL 5014</v>
      </c>
      <c r="AC115" t="e" cm="1">
        <f t="array" ref="AC115">IF(ROWS($AB$3:AB115)&gt;(ROWS($AB$3:$AB$229)-COUNTBLANK($AB$3:$AB$229)),"",INDEX($AB$3:$AB$229,SMALL(IF($AB$3:$AB$229&lt;&gt;"",ROW($AB$3:$AB$229)-2),ROWS($AB$3:AB115))))</f>
        <v>#N/A</v>
      </c>
      <c r="AX115">
        <v>184</v>
      </c>
      <c r="AY115">
        <v>1</v>
      </c>
      <c r="AZ115">
        <v>1</v>
      </c>
      <c r="BA115">
        <f>IF(Wycena!$C$16=78,Mapping!AY115,AZ115)</f>
        <v>1</v>
      </c>
      <c r="BD115">
        <v>292</v>
      </c>
      <c r="BE115">
        <v>1</v>
      </c>
      <c r="BF115">
        <v>1</v>
      </c>
      <c r="BG115">
        <f>IF(Wycena!$C$16=78,Mapping!BE115,BF115)</f>
        <v>1</v>
      </c>
    </row>
    <row r="116" spans="1:59" x14ac:dyDescent="0.35">
      <c r="A116" t="s">
        <v>196</v>
      </c>
      <c r="B116">
        <v>20</v>
      </c>
      <c r="C116">
        <v>20</v>
      </c>
      <c r="D116" t="s">
        <v>263</v>
      </c>
      <c r="E116" t="s">
        <v>263</v>
      </c>
      <c r="F116">
        <v>20</v>
      </c>
      <c r="G116">
        <v>28</v>
      </c>
      <c r="H116">
        <v>36</v>
      </c>
      <c r="I116">
        <v>36</v>
      </c>
      <c r="Y116" t="s">
        <v>658</v>
      </c>
      <c r="Z116">
        <v>500</v>
      </c>
      <c r="AA116" t="str">
        <f t="shared" si="15"/>
        <v>RAL 5015</v>
      </c>
      <c r="AB116" t="str">
        <f>IF((VLOOKUP(Wycena!$C$7,Mapping!$Q$15:$R$20,2,0))="tak","",AA116)</f>
        <v>RAL 5015</v>
      </c>
      <c r="AC116" t="e" cm="1">
        <f t="array" ref="AC116">IF(ROWS($AB$3:AB116)&gt;(ROWS($AB$3:$AB$229)-COUNTBLANK($AB$3:$AB$229)),"",INDEX($AB$3:$AB$229,SMALL(IF($AB$3:$AB$229&lt;&gt;"",ROW($AB$3:$AB$229)-2),ROWS($AB$3:AB116))))</f>
        <v>#N/A</v>
      </c>
      <c r="AX116">
        <v>185</v>
      </c>
      <c r="AY116">
        <v>1</v>
      </c>
      <c r="AZ116">
        <v>1</v>
      </c>
      <c r="BA116">
        <f>IF(Wycena!$C$16=78,Mapping!AY116,AZ116)</f>
        <v>1</v>
      </c>
      <c r="BD116">
        <v>293</v>
      </c>
      <c r="BE116">
        <v>1</v>
      </c>
      <c r="BF116">
        <v>1</v>
      </c>
      <c r="BG116">
        <f>IF(Wycena!$C$16=78,Mapping!BE116,BF116)</f>
        <v>1</v>
      </c>
    </row>
    <row r="117" spans="1:59" x14ac:dyDescent="0.35">
      <c r="A117" t="s">
        <v>197</v>
      </c>
      <c r="B117">
        <v>20</v>
      </c>
      <c r="C117">
        <v>20</v>
      </c>
      <c r="D117" t="s">
        <v>263</v>
      </c>
      <c r="E117" t="s">
        <v>263</v>
      </c>
      <c r="F117">
        <v>20</v>
      </c>
      <c r="G117">
        <v>28</v>
      </c>
      <c r="H117">
        <v>36</v>
      </c>
      <c r="I117">
        <v>36</v>
      </c>
      <c r="Y117" t="s">
        <v>659</v>
      </c>
      <c r="Z117">
        <v>500</v>
      </c>
      <c r="AA117" t="str">
        <f t="shared" si="15"/>
        <v>RAL 5017</v>
      </c>
      <c r="AB117" t="str">
        <f>IF((VLOOKUP(Wycena!$C$7,Mapping!$Q$15:$R$20,2,0))="tak","",AA117)</f>
        <v>RAL 5017</v>
      </c>
      <c r="AC117" t="e" cm="1">
        <f t="array" ref="AC117">IF(ROWS($AB$3:AB117)&gt;(ROWS($AB$3:$AB$229)-COUNTBLANK($AB$3:$AB$229)),"",INDEX($AB$3:$AB$229,SMALL(IF($AB$3:$AB$229&lt;&gt;"",ROW($AB$3:$AB$229)-2),ROWS($AB$3:AB117))))</f>
        <v>#N/A</v>
      </c>
      <c r="AX117">
        <v>186</v>
      </c>
      <c r="AY117">
        <v>1</v>
      </c>
      <c r="AZ117">
        <v>1</v>
      </c>
      <c r="BA117">
        <f>IF(Wycena!$C$16=78,Mapping!AY117,AZ117)</f>
        <v>1</v>
      </c>
      <c r="BD117">
        <v>294</v>
      </c>
      <c r="BE117">
        <v>1</v>
      </c>
      <c r="BF117">
        <v>1</v>
      </c>
      <c r="BG117">
        <f>IF(Wycena!$C$16=78,Mapping!BE117,BF117)</f>
        <v>1</v>
      </c>
    </row>
    <row r="118" spans="1:59" x14ac:dyDescent="0.35">
      <c r="A118" t="s">
        <v>198</v>
      </c>
      <c r="B118">
        <v>20</v>
      </c>
      <c r="C118">
        <v>20</v>
      </c>
      <c r="D118" t="s">
        <v>263</v>
      </c>
      <c r="E118" t="s">
        <v>263</v>
      </c>
      <c r="F118">
        <v>20</v>
      </c>
      <c r="G118">
        <v>28</v>
      </c>
      <c r="H118">
        <v>36</v>
      </c>
      <c r="I118">
        <v>36</v>
      </c>
      <c r="Y118" t="s">
        <v>660</v>
      </c>
      <c r="Z118">
        <v>500</v>
      </c>
      <c r="AA118" t="str">
        <f t="shared" si="15"/>
        <v>RAL 5018</v>
      </c>
      <c r="AB118" t="str">
        <f>IF((VLOOKUP(Wycena!$C$7,Mapping!$Q$15:$R$20,2,0))="tak","",AA118)</f>
        <v>RAL 5018</v>
      </c>
      <c r="AC118" t="e" cm="1">
        <f t="array" ref="AC118">IF(ROWS($AB$3:AB118)&gt;(ROWS($AB$3:$AB$229)-COUNTBLANK($AB$3:$AB$229)),"",INDEX($AB$3:$AB$229,SMALL(IF($AB$3:$AB$229&lt;&gt;"",ROW($AB$3:$AB$229)-2),ROWS($AB$3:AB118))))</f>
        <v>#N/A</v>
      </c>
      <c r="AX118">
        <v>187</v>
      </c>
      <c r="AY118">
        <v>1</v>
      </c>
      <c r="AZ118">
        <v>1</v>
      </c>
      <c r="BA118">
        <f>IF(Wycena!$C$16=78,Mapping!AY118,AZ118)</f>
        <v>1</v>
      </c>
      <c r="BD118">
        <v>295</v>
      </c>
      <c r="BE118">
        <v>1</v>
      </c>
      <c r="BF118">
        <v>1</v>
      </c>
      <c r="BG118">
        <f>IF(Wycena!$C$16=78,Mapping!BE118,BF118)</f>
        <v>1</v>
      </c>
    </row>
    <row r="119" spans="1:59" x14ac:dyDescent="0.35">
      <c r="A119" t="s">
        <v>199</v>
      </c>
      <c r="B119">
        <v>20</v>
      </c>
      <c r="C119">
        <v>20</v>
      </c>
      <c r="D119" t="s">
        <v>263</v>
      </c>
      <c r="E119" t="s">
        <v>263</v>
      </c>
      <c r="F119">
        <v>20</v>
      </c>
      <c r="G119">
        <v>28</v>
      </c>
      <c r="H119">
        <v>36</v>
      </c>
      <c r="I119">
        <v>36</v>
      </c>
      <c r="Y119" t="s">
        <v>661</v>
      </c>
      <c r="Z119">
        <v>500</v>
      </c>
      <c r="AA119" t="str">
        <f t="shared" si="15"/>
        <v>RAL 5019</v>
      </c>
      <c r="AB119" t="str">
        <f>IF((VLOOKUP(Wycena!$C$7,Mapping!$Q$15:$R$20,2,0))="tak","",AA119)</f>
        <v>RAL 5019</v>
      </c>
      <c r="AC119" t="e" cm="1">
        <f t="array" ref="AC119">IF(ROWS($AB$3:AB119)&gt;(ROWS($AB$3:$AB$229)-COUNTBLANK($AB$3:$AB$229)),"",INDEX($AB$3:$AB$229,SMALL(IF($AB$3:$AB$229&lt;&gt;"",ROW($AB$3:$AB$229)-2),ROWS($AB$3:AB119))))</f>
        <v>#N/A</v>
      </c>
      <c r="AX119">
        <v>188</v>
      </c>
      <c r="AY119">
        <v>1</v>
      </c>
      <c r="AZ119">
        <v>1</v>
      </c>
      <c r="BA119">
        <f>IF(Wycena!$C$16=78,Mapping!AY119,AZ119)</f>
        <v>1</v>
      </c>
      <c r="BD119">
        <v>296</v>
      </c>
      <c r="BE119">
        <v>1</v>
      </c>
      <c r="BF119">
        <v>1</v>
      </c>
      <c r="BG119">
        <f>IF(Wycena!$C$16=78,Mapping!BE119,BF119)</f>
        <v>1</v>
      </c>
    </row>
    <row r="120" spans="1:59" x14ac:dyDescent="0.35">
      <c r="A120" t="s">
        <v>200</v>
      </c>
      <c r="B120">
        <v>20</v>
      </c>
      <c r="C120">
        <v>20</v>
      </c>
      <c r="D120" t="s">
        <v>263</v>
      </c>
      <c r="E120" t="s">
        <v>263</v>
      </c>
      <c r="F120">
        <v>20</v>
      </c>
      <c r="G120">
        <v>28</v>
      </c>
      <c r="H120">
        <v>36</v>
      </c>
      <c r="I120">
        <v>36</v>
      </c>
      <c r="Y120" t="s">
        <v>662</v>
      </c>
      <c r="Z120">
        <v>500</v>
      </c>
      <c r="AA120" t="str">
        <f t="shared" si="15"/>
        <v>RAL 5020</v>
      </c>
      <c r="AB120" t="str">
        <f>IF((VLOOKUP(Wycena!$C$7,Mapping!$Q$15:$R$20,2,0))="tak","",AA120)</f>
        <v>RAL 5020</v>
      </c>
      <c r="AC120" t="e" cm="1">
        <f t="array" ref="AC120">IF(ROWS($AB$3:AB120)&gt;(ROWS($AB$3:$AB$229)-COUNTBLANK($AB$3:$AB$229)),"",INDEX($AB$3:$AB$229,SMALL(IF($AB$3:$AB$229&lt;&gt;"",ROW($AB$3:$AB$229)-2),ROWS($AB$3:AB120))))</f>
        <v>#N/A</v>
      </c>
      <c r="AX120">
        <v>189</v>
      </c>
      <c r="AY120">
        <v>1</v>
      </c>
      <c r="AZ120">
        <v>1</v>
      </c>
      <c r="BA120">
        <f>IF(Wycena!$C$16=78,Mapping!AY120,AZ120)</f>
        <v>1</v>
      </c>
      <c r="BD120">
        <v>297</v>
      </c>
      <c r="BE120">
        <v>1</v>
      </c>
      <c r="BF120">
        <v>1</v>
      </c>
      <c r="BG120">
        <f>IF(Wycena!$C$16=78,Mapping!BE120,BF120)</f>
        <v>1</v>
      </c>
    </row>
    <row r="121" spans="1:59" x14ac:dyDescent="0.35">
      <c r="A121" t="s">
        <v>201</v>
      </c>
      <c r="B121">
        <v>20</v>
      </c>
      <c r="C121">
        <v>20</v>
      </c>
      <c r="D121" t="s">
        <v>263</v>
      </c>
      <c r="E121" t="s">
        <v>263</v>
      </c>
      <c r="F121">
        <v>20</v>
      </c>
      <c r="G121">
        <v>28</v>
      </c>
      <c r="H121">
        <v>36</v>
      </c>
      <c r="I121">
        <v>36</v>
      </c>
      <c r="Y121" t="s">
        <v>663</v>
      </c>
      <c r="Z121">
        <v>500</v>
      </c>
      <c r="AA121" t="str">
        <f t="shared" si="15"/>
        <v>RAL 5021</v>
      </c>
      <c r="AB121" t="str">
        <f>IF((VLOOKUP(Wycena!$C$7,Mapping!$Q$15:$R$20,2,0))="tak","",AA121)</f>
        <v>RAL 5021</v>
      </c>
      <c r="AC121" t="e" cm="1">
        <f t="array" ref="AC121">IF(ROWS($AB$3:AB121)&gt;(ROWS($AB$3:$AB$229)-COUNTBLANK($AB$3:$AB$229)),"",INDEX($AB$3:$AB$229,SMALL(IF($AB$3:$AB$229&lt;&gt;"",ROW($AB$3:$AB$229)-2),ROWS($AB$3:AB121))))</f>
        <v>#N/A</v>
      </c>
      <c r="AX121">
        <v>190</v>
      </c>
      <c r="AY121">
        <v>1</v>
      </c>
      <c r="AZ121">
        <v>1</v>
      </c>
      <c r="BA121">
        <f>IF(Wycena!$C$16=78,Mapping!AY121,AZ121)</f>
        <v>1</v>
      </c>
      <c r="BD121">
        <v>298</v>
      </c>
      <c r="BE121">
        <v>1</v>
      </c>
      <c r="BF121">
        <v>1</v>
      </c>
      <c r="BG121">
        <f>IF(Wycena!$C$16=78,Mapping!BE121,BF121)</f>
        <v>1</v>
      </c>
    </row>
    <row r="122" spans="1:59" x14ac:dyDescent="0.35">
      <c r="A122" t="s">
        <v>202</v>
      </c>
      <c r="B122">
        <v>20</v>
      </c>
      <c r="C122">
        <v>20</v>
      </c>
      <c r="D122" t="s">
        <v>263</v>
      </c>
      <c r="E122" t="s">
        <v>263</v>
      </c>
      <c r="F122">
        <v>20</v>
      </c>
      <c r="G122">
        <v>28</v>
      </c>
      <c r="H122">
        <v>36</v>
      </c>
      <c r="I122">
        <v>36</v>
      </c>
      <c r="Y122" t="s">
        <v>664</v>
      </c>
      <c r="Z122">
        <v>500</v>
      </c>
      <c r="AA122" t="str">
        <f t="shared" si="15"/>
        <v>RAL 5022</v>
      </c>
      <c r="AB122" t="str">
        <f>IF((VLOOKUP(Wycena!$C$7,Mapping!$Q$15:$R$20,2,0))="tak","",AA122)</f>
        <v>RAL 5022</v>
      </c>
      <c r="AC122" t="e" cm="1">
        <f t="array" ref="AC122">IF(ROWS($AB$3:AB122)&gt;(ROWS($AB$3:$AB$229)-COUNTBLANK($AB$3:$AB$229)),"",INDEX($AB$3:$AB$229,SMALL(IF($AB$3:$AB$229&lt;&gt;"",ROW($AB$3:$AB$229)-2),ROWS($AB$3:AB122))))</f>
        <v>#N/A</v>
      </c>
      <c r="AX122">
        <v>191</v>
      </c>
      <c r="AY122">
        <v>1</v>
      </c>
      <c r="AZ122">
        <v>1</v>
      </c>
      <c r="BA122">
        <f>IF(Wycena!$C$16=78,Mapping!AY122,AZ122)</f>
        <v>1</v>
      </c>
      <c r="BD122">
        <v>299</v>
      </c>
      <c r="BE122">
        <v>1</v>
      </c>
      <c r="BF122">
        <v>1</v>
      </c>
      <c r="BG122">
        <f>IF(Wycena!$C$16=78,Mapping!BE122,BF122)</f>
        <v>1</v>
      </c>
    </row>
    <row r="123" spans="1:59" x14ac:dyDescent="0.35">
      <c r="A123" t="s">
        <v>203</v>
      </c>
      <c r="B123">
        <v>20</v>
      </c>
      <c r="C123">
        <v>20</v>
      </c>
      <c r="D123" t="s">
        <v>263</v>
      </c>
      <c r="E123" t="s">
        <v>263</v>
      </c>
      <c r="F123">
        <v>20</v>
      </c>
      <c r="G123">
        <v>36</v>
      </c>
      <c r="H123">
        <v>36</v>
      </c>
      <c r="I123">
        <v>36</v>
      </c>
      <c r="Y123" t="s">
        <v>665</v>
      </c>
      <c r="Z123">
        <v>500</v>
      </c>
      <c r="AA123" t="str">
        <f t="shared" si="15"/>
        <v>RAL 5023</v>
      </c>
      <c r="AB123" t="str">
        <f>IF((VLOOKUP(Wycena!$C$7,Mapping!$Q$15:$R$20,2,0))="tak","",AA123)</f>
        <v>RAL 5023</v>
      </c>
      <c r="AC123" t="e" cm="1">
        <f t="array" ref="AC123">IF(ROWS($AB$3:AB123)&gt;(ROWS($AB$3:$AB$229)-COUNTBLANK($AB$3:$AB$229)),"",INDEX($AB$3:$AB$229,SMALL(IF($AB$3:$AB$229&lt;&gt;"",ROW($AB$3:$AB$229)-2),ROWS($AB$3:AB123))))</f>
        <v>#N/A</v>
      </c>
      <c r="AX123">
        <v>192</v>
      </c>
      <c r="AY123">
        <v>1</v>
      </c>
      <c r="AZ123">
        <v>1</v>
      </c>
      <c r="BA123">
        <f>IF(Wycena!$C$16=78,Mapping!AY123,AZ123)</f>
        <v>1</v>
      </c>
      <c r="BD123">
        <v>300</v>
      </c>
      <c r="BE123">
        <v>1</v>
      </c>
      <c r="BF123">
        <v>1</v>
      </c>
      <c r="BG123">
        <f>IF(Wycena!$C$16=78,Mapping!BE123,BF123)</f>
        <v>1</v>
      </c>
    </row>
    <row r="124" spans="1:59" x14ac:dyDescent="0.35">
      <c r="A124" t="s">
        <v>205</v>
      </c>
      <c r="B124">
        <v>20</v>
      </c>
      <c r="C124">
        <v>20</v>
      </c>
      <c r="D124" t="s">
        <v>263</v>
      </c>
      <c r="E124" t="s">
        <v>263</v>
      </c>
      <c r="F124">
        <v>20</v>
      </c>
      <c r="G124">
        <v>28</v>
      </c>
      <c r="H124">
        <v>36</v>
      </c>
      <c r="I124">
        <v>36</v>
      </c>
      <c r="Y124" t="s">
        <v>666</v>
      </c>
      <c r="Z124">
        <v>500</v>
      </c>
      <c r="AA124" t="str">
        <f t="shared" si="15"/>
        <v>RAL 5024</v>
      </c>
      <c r="AB124" t="str">
        <f>IF((VLOOKUP(Wycena!$C$7,Mapping!$Q$15:$R$20,2,0))="tak","",AA124)</f>
        <v>RAL 5024</v>
      </c>
      <c r="AC124" t="e" cm="1">
        <f t="array" ref="AC124">IF(ROWS($AB$3:AB124)&gt;(ROWS($AB$3:$AB$229)-COUNTBLANK($AB$3:$AB$229)),"",INDEX($AB$3:$AB$229,SMALL(IF($AB$3:$AB$229&lt;&gt;"",ROW($AB$3:$AB$229)-2),ROWS($AB$3:AB124))))</f>
        <v>#N/A</v>
      </c>
      <c r="AX124">
        <v>193</v>
      </c>
      <c r="AY124">
        <v>1</v>
      </c>
      <c r="AZ124">
        <v>1</v>
      </c>
      <c r="BA124">
        <f>IF(Wycena!$C$16=78,Mapping!AY124,AZ124)</f>
        <v>1</v>
      </c>
      <c r="BD124">
        <v>301</v>
      </c>
      <c r="BE124">
        <v>1</v>
      </c>
      <c r="BF124">
        <v>1</v>
      </c>
      <c r="BG124">
        <f>IF(Wycena!$C$16=78,Mapping!BE124,BF124)</f>
        <v>1</v>
      </c>
    </row>
    <row r="125" spans="1:59" x14ac:dyDescent="0.35">
      <c r="A125" t="s">
        <v>206</v>
      </c>
      <c r="B125">
        <v>20</v>
      </c>
      <c r="C125">
        <v>20</v>
      </c>
      <c r="D125" t="s">
        <v>263</v>
      </c>
      <c r="E125" t="s">
        <v>263</v>
      </c>
      <c r="F125">
        <v>20</v>
      </c>
      <c r="G125">
        <v>28</v>
      </c>
      <c r="H125">
        <v>36</v>
      </c>
      <c r="I125">
        <v>36</v>
      </c>
      <c r="Y125" t="s">
        <v>667</v>
      </c>
      <c r="Z125">
        <v>500</v>
      </c>
      <c r="AA125" t="str">
        <f t="shared" si="15"/>
        <v>RAL 5025</v>
      </c>
      <c r="AB125" t="str">
        <f>IF((VLOOKUP(Wycena!$C$7,Mapping!$Q$15:$R$20,2,0))="tak","",AA125)</f>
        <v>RAL 5025</v>
      </c>
      <c r="AC125" t="e" cm="1">
        <f t="array" ref="AC125">IF(ROWS($AB$3:AB125)&gt;(ROWS($AB$3:$AB$229)-COUNTBLANK($AB$3:$AB$229)),"",INDEX($AB$3:$AB$229,SMALL(IF($AB$3:$AB$229&lt;&gt;"",ROW($AB$3:$AB$229)-2),ROWS($AB$3:AB125))))</f>
        <v>#N/A</v>
      </c>
      <c r="AX125">
        <v>194</v>
      </c>
      <c r="AY125">
        <v>1</v>
      </c>
      <c r="AZ125">
        <v>1</v>
      </c>
      <c r="BA125">
        <f>IF(Wycena!$C$16=78,Mapping!AY125,AZ125)</f>
        <v>1</v>
      </c>
      <c r="BD125">
        <v>302</v>
      </c>
      <c r="BE125">
        <v>1</v>
      </c>
      <c r="BF125">
        <v>1</v>
      </c>
      <c r="BG125">
        <f>IF(Wycena!$C$16=78,Mapping!BE125,BF125)</f>
        <v>1</v>
      </c>
    </row>
    <row r="126" spans="1:59" x14ac:dyDescent="0.35">
      <c r="A126" t="s">
        <v>207</v>
      </c>
      <c r="B126">
        <v>20</v>
      </c>
      <c r="C126">
        <v>20</v>
      </c>
      <c r="D126" t="s">
        <v>263</v>
      </c>
      <c r="E126" t="s">
        <v>263</v>
      </c>
      <c r="F126">
        <v>20</v>
      </c>
      <c r="G126">
        <v>28</v>
      </c>
      <c r="H126">
        <v>36</v>
      </c>
      <c r="I126">
        <v>36</v>
      </c>
      <c r="Y126" t="s">
        <v>668</v>
      </c>
      <c r="Z126">
        <v>500</v>
      </c>
      <c r="AA126" t="str">
        <f t="shared" si="15"/>
        <v>RAL 5026</v>
      </c>
      <c r="AB126" t="str">
        <f>IF((VLOOKUP(Wycena!$C$7,Mapping!$Q$15:$R$20,2,0))="tak","",AA126)</f>
        <v>RAL 5026</v>
      </c>
      <c r="AC126" t="e" cm="1">
        <f t="array" ref="AC126">IF(ROWS($AB$3:AB126)&gt;(ROWS($AB$3:$AB$229)-COUNTBLANK($AB$3:$AB$229)),"",INDEX($AB$3:$AB$229,SMALL(IF($AB$3:$AB$229&lt;&gt;"",ROW($AB$3:$AB$229)-2),ROWS($AB$3:AB126))))</f>
        <v>#N/A</v>
      </c>
      <c r="AX126">
        <v>195</v>
      </c>
      <c r="AY126">
        <v>1</v>
      </c>
      <c r="AZ126">
        <v>1</v>
      </c>
      <c r="BA126">
        <f>IF(Wycena!$C$16=78,Mapping!AY126,AZ126)</f>
        <v>1</v>
      </c>
      <c r="BD126">
        <v>303</v>
      </c>
      <c r="BE126">
        <v>1</v>
      </c>
      <c r="BF126">
        <v>1</v>
      </c>
      <c r="BG126">
        <f>IF(Wycena!$C$16=78,Mapping!BE126,BF126)</f>
        <v>1</v>
      </c>
    </row>
    <row r="127" spans="1:59" x14ac:dyDescent="0.35">
      <c r="A127" t="s">
        <v>208</v>
      </c>
      <c r="B127">
        <v>20</v>
      </c>
      <c r="C127">
        <v>20</v>
      </c>
      <c r="D127" t="s">
        <v>263</v>
      </c>
      <c r="E127" t="s">
        <v>263</v>
      </c>
      <c r="F127">
        <v>20</v>
      </c>
      <c r="G127">
        <v>28</v>
      </c>
      <c r="H127">
        <v>36</v>
      </c>
      <c r="I127">
        <v>36</v>
      </c>
      <c r="Y127" t="s">
        <v>669</v>
      </c>
      <c r="Z127">
        <v>500</v>
      </c>
      <c r="AA127" t="str">
        <f t="shared" si="15"/>
        <v>RAL 6000</v>
      </c>
      <c r="AB127" t="str">
        <f>IF((VLOOKUP(Wycena!$C$7,Mapping!$Q$15:$R$20,2,0))="tak","",AA127)</f>
        <v>RAL 6000</v>
      </c>
      <c r="AC127" t="e" cm="1">
        <f t="array" ref="AC127">IF(ROWS($AB$3:AB127)&gt;(ROWS($AB$3:$AB$229)-COUNTBLANK($AB$3:$AB$229)),"",INDEX($AB$3:$AB$229,SMALL(IF($AB$3:$AB$229&lt;&gt;"",ROW($AB$3:$AB$229)-2),ROWS($AB$3:AB127))))</f>
        <v>#N/A</v>
      </c>
      <c r="AX127">
        <v>196</v>
      </c>
      <c r="AY127">
        <v>1</v>
      </c>
      <c r="AZ127">
        <v>1</v>
      </c>
      <c r="BA127">
        <f>IF(Wycena!$C$16=78,Mapping!AY127,AZ127)</f>
        <v>1</v>
      </c>
      <c r="BD127">
        <v>304</v>
      </c>
      <c r="BE127">
        <v>1</v>
      </c>
      <c r="BF127">
        <v>1</v>
      </c>
      <c r="BG127">
        <f>IF(Wycena!$C$16=78,Mapping!BE127,BF127)</f>
        <v>1</v>
      </c>
    </row>
    <row r="128" spans="1:59" x14ac:dyDescent="0.35">
      <c r="A128" t="s">
        <v>209</v>
      </c>
      <c r="B128">
        <v>20</v>
      </c>
      <c r="C128">
        <v>20</v>
      </c>
      <c r="D128" t="s">
        <v>263</v>
      </c>
      <c r="E128" t="s">
        <v>263</v>
      </c>
      <c r="F128">
        <v>20</v>
      </c>
      <c r="G128">
        <v>28</v>
      </c>
      <c r="H128">
        <v>36</v>
      </c>
      <c r="I128">
        <v>36</v>
      </c>
      <c r="Y128" t="s">
        <v>670</v>
      </c>
      <c r="Z128">
        <v>500</v>
      </c>
      <c r="AA128" t="str">
        <f t="shared" si="15"/>
        <v>RAL 6001</v>
      </c>
      <c r="AB128" t="str">
        <f>IF((VLOOKUP(Wycena!$C$7,Mapping!$Q$15:$R$20,2,0))="tak","",AA128)</f>
        <v>RAL 6001</v>
      </c>
      <c r="AC128" t="e" cm="1">
        <f t="array" ref="AC128">IF(ROWS($AB$3:AB128)&gt;(ROWS($AB$3:$AB$229)-COUNTBLANK($AB$3:$AB$229)),"",INDEX($AB$3:$AB$229,SMALL(IF($AB$3:$AB$229&lt;&gt;"",ROW($AB$3:$AB$229)-2),ROWS($AB$3:AB128))))</f>
        <v>#N/A</v>
      </c>
      <c r="AX128">
        <v>197</v>
      </c>
      <c r="AY128">
        <v>1</v>
      </c>
      <c r="AZ128">
        <v>1</v>
      </c>
      <c r="BA128">
        <f>IF(Wycena!$C$16=78,Mapping!AY128,AZ128)</f>
        <v>1</v>
      </c>
      <c r="BD128">
        <v>305</v>
      </c>
      <c r="BE128">
        <v>1</v>
      </c>
      <c r="BF128">
        <v>1</v>
      </c>
      <c r="BG128">
        <f>IF(Wycena!$C$16=78,Mapping!BE128,BF128)</f>
        <v>1</v>
      </c>
    </row>
    <row r="129" spans="1:59" x14ac:dyDescent="0.35">
      <c r="A129" t="s">
        <v>210</v>
      </c>
      <c r="B129">
        <v>20</v>
      </c>
      <c r="C129">
        <v>20</v>
      </c>
      <c r="D129" t="s">
        <v>263</v>
      </c>
      <c r="E129" t="s">
        <v>263</v>
      </c>
      <c r="F129">
        <v>20</v>
      </c>
      <c r="G129">
        <v>36</v>
      </c>
      <c r="H129">
        <v>36</v>
      </c>
      <c r="I129">
        <v>36</v>
      </c>
      <c r="Y129" t="s">
        <v>671</v>
      </c>
      <c r="Z129">
        <v>500</v>
      </c>
      <c r="AA129" t="str">
        <f t="shared" si="15"/>
        <v>RAL 6002</v>
      </c>
      <c r="AB129" t="str">
        <f>IF((VLOOKUP(Wycena!$C$7,Mapping!$Q$15:$R$20,2,0))="tak","",AA129)</f>
        <v>RAL 6002</v>
      </c>
      <c r="AC129" t="e" cm="1">
        <f t="array" ref="AC129">IF(ROWS($AB$3:AB129)&gt;(ROWS($AB$3:$AB$229)-COUNTBLANK($AB$3:$AB$229)),"",INDEX($AB$3:$AB$229,SMALL(IF($AB$3:$AB$229&lt;&gt;"",ROW($AB$3:$AB$229)-2),ROWS($AB$3:AB129))))</f>
        <v>#N/A</v>
      </c>
      <c r="AX129">
        <v>198</v>
      </c>
      <c r="AY129">
        <v>1</v>
      </c>
      <c r="AZ129">
        <v>1</v>
      </c>
      <c r="BA129">
        <f>IF(Wycena!$C$16=78,Mapping!AY129,AZ129)</f>
        <v>1</v>
      </c>
      <c r="BD129">
        <v>306</v>
      </c>
      <c r="BE129">
        <v>1</v>
      </c>
      <c r="BF129">
        <v>1</v>
      </c>
      <c r="BG129">
        <f>IF(Wycena!$C$16=78,Mapping!BE129,BF129)</f>
        <v>1</v>
      </c>
    </row>
    <row r="130" spans="1:59" x14ac:dyDescent="0.35">
      <c r="A130" t="s">
        <v>211</v>
      </c>
      <c r="B130">
        <v>20</v>
      </c>
      <c r="C130">
        <v>20</v>
      </c>
      <c r="D130" t="s">
        <v>263</v>
      </c>
      <c r="E130" t="s">
        <v>263</v>
      </c>
      <c r="F130">
        <v>20</v>
      </c>
      <c r="G130">
        <v>36</v>
      </c>
      <c r="H130">
        <v>36</v>
      </c>
      <c r="I130">
        <v>36</v>
      </c>
      <c r="Y130" t="s">
        <v>672</v>
      </c>
      <c r="Z130">
        <v>500</v>
      </c>
      <c r="AA130" t="str">
        <f t="shared" si="15"/>
        <v>RAL 6003</v>
      </c>
      <c r="AB130" t="str">
        <f>IF((VLOOKUP(Wycena!$C$7,Mapping!$Q$15:$R$20,2,0))="tak","",AA130)</f>
        <v>RAL 6003</v>
      </c>
      <c r="AC130" t="e" cm="1">
        <f t="array" ref="AC130">IF(ROWS($AB$3:AB130)&gt;(ROWS($AB$3:$AB$229)-COUNTBLANK($AB$3:$AB$229)),"",INDEX($AB$3:$AB$229,SMALL(IF($AB$3:$AB$229&lt;&gt;"",ROW($AB$3:$AB$229)-2),ROWS($AB$3:AB130))))</f>
        <v>#N/A</v>
      </c>
      <c r="AX130">
        <v>199</v>
      </c>
      <c r="AY130">
        <v>1</v>
      </c>
      <c r="AZ130">
        <v>1</v>
      </c>
      <c r="BA130">
        <f>IF(Wycena!$C$16=78,Mapping!AY130,AZ130)</f>
        <v>1</v>
      </c>
      <c r="BD130">
        <v>307</v>
      </c>
      <c r="BE130">
        <v>1</v>
      </c>
      <c r="BF130">
        <v>1</v>
      </c>
      <c r="BG130">
        <f>IF(Wycena!$C$16=78,Mapping!BE130,BF130)</f>
        <v>1</v>
      </c>
    </row>
    <row r="131" spans="1:59" x14ac:dyDescent="0.35">
      <c r="A131" t="s">
        <v>212</v>
      </c>
      <c r="B131">
        <v>20</v>
      </c>
      <c r="C131">
        <v>20</v>
      </c>
      <c r="D131" t="s">
        <v>263</v>
      </c>
      <c r="E131" t="s">
        <v>263</v>
      </c>
      <c r="F131">
        <v>20</v>
      </c>
      <c r="G131">
        <v>28</v>
      </c>
      <c r="H131">
        <v>36</v>
      </c>
      <c r="I131">
        <v>36</v>
      </c>
      <c r="Y131" t="s">
        <v>673</v>
      </c>
      <c r="Z131">
        <v>500</v>
      </c>
      <c r="AA131" t="str">
        <f t="shared" si="15"/>
        <v>RAL 6004</v>
      </c>
      <c r="AB131" t="str">
        <f>IF((VLOOKUP(Wycena!$C$7,Mapping!$Q$15:$R$20,2,0))="tak","",AA131)</f>
        <v>RAL 6004</v>
      </c>
      <c r="AC131" t="e" cm="1">
        <f t="array" ref="AC131">IF(ROWS($AB$3:AB131)&gt;(ROWS($AB$3:$AB$229)-COUNTBLANK($AB$3:$AB$229)),"",INDEX($AB$3:$AB$229,SMALL(IF($AB$3:$AB$229&lt;&gt;"",ROW($AB$3:$AB$229)-2),ROWS($AB$3:AB131))))</f>
        <v>#N/A</v>
      </c>
      <c r="AX131">
        <v>200</v>
      </c>
      <c r="AY131">
        <v>1</v>
      </c>
      <c r="AZ131">
        <v>1</v>
      </c>
      <c r="BA131">
        <f>IF(Wycena!$C$16=78,Mapping!AY131,AZ131)</f>
        <v>1</v>
      </c>
      <c r="BD131">
        <v>308</v>
      </c>
      <c r="BE131">
        <v>1</v>
      </c>
      <c r="BF131">
        <v>1</v>
      </c>
      <c r="BG131">
        <f>IF(Wycena!$C$16=78,Mapping!BE131,BF131)</f>
        <v>1</v>
      </c>
    </row>
    <row r="132" spans="1:59" x14ac:dyDescent="0.35">
      <c r="A132" t="s">
        <v>213</v>
      </c>
      <c r="B132">
        <v>20</v>
      </c>
      <c r="C132">
        <v>20</v>
      </c>
      <c r="D132" t="s">
        <v>263</v>
      </c>
      <c r="E132" t="s">
        <v>263</v>
      </c>
      <c r="F132">
        <v>20</v>
      </c>
      <c r="G132">
        <v>28</v>
      </c>
      <c r="H132">
        <v>36</v>
      </c>
      <c r="I132">
        <v>36</v>
      </c>
      <c r="Y132" t="s">
        <v>674</v>
      </c>
      <c r="Z132">
        <v>500</v>
      </c>
      <c r="AA132" t="str">
        <f t="shared" si="15"/>
        <v>RAL 6005</v>
      </c>
      <c r="AB132" t="str">
        <f>IF((VLOOKUP(Wycena!$C$7,Mapping!$Q$15:$R$20,2,0))="tak","",AA132)</f>
        <v>RAL 6005</v>
      </c>
      <c r="AC132" t="e" cm="1">
        <f t="array" ref="AC132">IF(ROWS($AB$3:AB132)&gt;(ROWS($AB$3:$AB$229)-COUNTBLANK($AB$3:$AB$229)),"",INDEX($AB$3:$AB$229,SMALL(IF($AB$3:$AB$229&lt;&gt;"",ROW($AB$3:$AB$229)-2),ROWS($AB$3:AB132))))</f>
        <v>#N/A</v>
      </c>
      <c r="AX132">
        <v>201</v>
      </c>
      <c r="AY132">
        <v>1</v>
      </c>
      <c r="AZ132">
        <v>1</v>
      </c>
      <c r="BA132">
        <f>IF(Wycena!$C$16=78,Mapping!AY132,AZ132)</f>
        <v>1</v>
      </c>
      <c r="BD132">
        <v>309</v>
      </c>
      <c r="BE132">
        <v>1</v>
      </c>
      <c r="BF132">
        <v>1</v>
      </c>
      <c r="BG132">
        <f>IF(Wycena!$C$16=78,Mapping!BE132,BF132)</f>
        <v>1</v>
      </c>
    </row>
    <row r="133" spans="1:59" x14ac:dyDescent="0.35">
      <c r="A133" t="s">
        <v>214</v>
      </c>
      <c r="B133">
        <v>20</v>
      </c>
      <c r="C133">
        <v>20</v>
      </c>
      <c r="D133" t="s">
        <v>263</v>
      </c>
      <c r="E133" t="s">
        <v>263</v>
      </c>
      <c r="F133">
        <v>20</v>
      </c>
      <c r="G133">
        <v>36</v>
      </c>
      <c r="H133">
        <v>36</v>
      </c>
      <c r="I133">
        <v>36</v>
      </c>
      <c r="Y133" t="s">
        <v>675</v>
      </c>
      <c r="Z133">
        <v>500</v>
      </c>
      <c r="AA133" t="str">
        <f t="shared" ref="AA133:AA196" si="16">Y133</f>
        <v>RAL 6006</v>
      </c>
      <c r="AB133" t="str">
        <f>IF((VLOOKUP(Wycena!$C$7,Mapping!$Q$15:$R$20,2,0))="tak","",AA133)</f>
        <v>RAL 6006</v>
      </c>
      <c r="AC133" t="e" cm="1">
        <f t="array" ref="AC133">IF(ROWS($AB$3:AB133)&gt;(ROWS($AB$3:$AB$229)-COUNTBLANK($AB$3:$AB$229)),"",INDEX($AB$3:$AB$229,SMALL(IF($AB$3:$AB$229&lt;&gt;"",ROW($AB$3:$AB$229)-2),ROWS($AB$3:AB133))))</f>
        <v>#N/A</v>
      </c>
      <c r="AX133">
        <v>202</v>
      </c>
      <c r="AY133">
        <v>1</v>
      </c>
      <c r="AZ133">
        <v>1</v>
      </c>
      <c r="BA133">
        <f>IF(Wycena!$C$16=78,Mapping!AY133,AZ133)</f>
        <v>1</v>
      </c>
      <c r="BD133">
        <v>310</v>
      </c>
      <c r="BE133">
        <v>1</v>
      </c>
      <c r="BF133">
        <v>1</v>
      </c>
      <c r="BG133">
        <f>IF(Wycena!$C$16=78,Mapping!BE133,BF133)</f>
        <v>1</v>
      </c>
    </row>
    <row r="134" spans="1:59" x14ac:dyDescent="0.35">
      <c r="A134" t="s">
        <v>215</v>
      </c>
      <c r="B134">
        <v>20</v>
      </c>
      <c r="C134">
        <v>20</v>
      </c>
      <c r="D134" t="s">
        <v>263</v>
      </c>
      <c r="E134" t="s">
        <v>263</v>
      </c>
      <c r="F134">
        <v>20</v>
      </c>
      <c r="G134">
        <v>28</v>
      </c>
      <c r="H134">
        <v>36</v>
      </c>
      <c r="I134">
        <v>36</v>
      </c>
      <c r="Y134" t="s">
        <v>676</v>
      </c>
      <c r="Z134">
        <v>500</v>
      </c>
      <c r="AA134" t="str">
        <f t="shared" si="16"/>
        <v>RAL 6007</v>
      </c>
      <c r="AB134" t="str">
        <f>IF((VLOOKUP(Wycena!$C$7,Mapping!$Q$15:$R$20,2,0))="tak","",AA134)</f>
        <v>RAL 6007</v>
      </c>
      <c r="AC134" t="e" cm="1">
        <f t="array" ref="AC134">IF(ROWS($AB$3:AB134)&gt;(ROWS($AB$3:$AB$229)-COUNTBLANK($AB$3:$AB$229)),"",INDEX($AB$3:$AB$229,SMALL(IF($AB$3:$AB$229&lt;&gt;"",ROW($AB$3:$AB$229)-2),ROWS($AB$3:AB134))))</f>
        <v>#N/A</v>
      </c>
      <c r="AX134">
        <v>203</v>
      </c>
      <c r="AY134">
        <v>2</v>
      </c>
      <c r="AZ134">
        <v>1</v>
      </c>
      <c r="BA134">
        <f>IF(Wycena!$C$16=78,Mapping!AY134,AZ134)</f>
        <v>1</v>
      </c>
      <c r="BD134">
        <v>311</v>
      </c>
      <c r="BE134">
        <v>1</v>
      </c>
      <c r="BF134">
        <v>1</v>
      </c>
      <c r="BG134">
        <f>IF(Wycena!$C$16=78,Mapping!BE134,BF134)</f>
        <v>1</v>
      </c>
    </row>
    <row r="135" spans="1:59" x14ac:dyDescent="0.35">
      <c r="A135" t="s">
        <v>216</v>
      </c>
      <c r="B135">
        <v>20</v>
      </c>
      <c r="C135">
        <v>20</v>
      </c>
      <c r="D135" t="s">
        <v>263</v>
      </c>
      <c r="E135" t="s">
        <v>263</v>
      </c>
      <c r="F135">
        <v>20</v>
      </c>
      <c r="G135">
        <v>36</v>
      </c>
      <c r="H135">
        <v>36</v>
      </c>
      <c r="I135">
        <v>36</v>
      </c>
      <c r="Y135" t="s">
        <v>677</v>
      </c>
      <c r="Z135">
        <v>500</v>
      </c>
      <c r="AA135" t="str">
        <f t="shared" si="16"/>
        <v>RAL 6008</v>
      </c>
      <c r="AB135" t="str">
        <f>IF((VLOOKUP(Wycena!$C$7,Mapping!$Q$15:$R$20,2,0))="tak","",AA135)</f>
        <v>RAL 6008</v>
      </c>
      <c r="AC135" t="e" cm="1">
        <f t="array" ref="AC135">IF(ROWS($AB$3:AB135)&gt;(ROWS($AB$3:$AB$229)-COUNTBLANK($AB$3:$AB$229)),"",INDEX($AB$3:$AB$229,SMALL(IF($AB$3:$AB$229&lt;&gt;"",ROW($AB$3:$AB$229)-2),ROWS($AB$3:AB135))))</f>
        <v>#N/A</v>
      </c>
      <c r="AX135">
        <v>204</v>
      </c>
      <c r="AY135">
        <v>2</v>
      </c>
      <c r="AZ135">
        <v>1</v>
      </c>
      <c r="BA135">
        <f>IF(Wycena!$C$16=78,Mapping!AY135,AZ135)</f>
        <v>1</v>
      </c>
      <c r="BD135">
        <v>312</v>
      </c>
      <c r="BE135">
        <v>1</v>
      </c>
      <c r="BF135">
        <v>1</v>
      </c>
      <c r="BG135">
        <f>IF(Wycena!$C$16=78,Mapping!BE135,BF135)</f>
        <v>1</v>
      </c>
    </row>
    <row r="136" spans="1:59" x14ac:dyDescent="0.35">
      <c r="A136" t="s">
        <v>217</v>
      </c>
      <c r="B136">
        <v>20</v>
      </c>
      <c r="C136">
        <v>20</v>
      </c>
      <c r="D136" t="s">
        <v>263</v>
      </c>
      <c r="E136" t="s">
        <v>263</v>
      </c>
      <c r="F136">
        <v>20</v>
      </c>
      <c r="G136">
        <v>28</v>
      </c>
      <c r="H136">
        <v>36</v>
      </c>
      <c r="I136">
        <v>36</v>
      </c>
      <c r="Y136" t="s">
        <v>678</v>
      </c>
      <c r="Z136">
        <v>500</v>
      </c>
      <c r="AA136" t="str">
        <f t="shared" si="16"/>
        <v>RAL 6009</v>
      </c>
      <c r="AB136" t="str">
        <f>IF((VLOOKUP(Wycena!$C$7,Mapping!$Q$15:$R$20,2,0))="tak","",AA136)</f>
        <v>RAL 6009</v>
      </c>
      <c r="AC136" t="e" cm="1">
        <f t="array" ref="AC136">IF(ROWS($AB$3:AB136)&gt;(ROWS($AB$3:$AB$229)-COUNTBLANK($AB$3:$AB$229)),"",INDEX($AB$3:$AB$229,SMALL(IF($AB$3:$AB$229&lt;&gt;"",ROW($AB$3:$AB$229)-2),ROWS($AB$3:AB136))))</f>
        <v>#N/A</v>
      </c>
      <c r="AX136">
        <v>205</v>
      </c>
      <c r="AY136">
        <v>2</v>
      </c>
      <c r="AZ136">
        <v>1</v>
      </c>
      <c r="BA136">
        <f>IF(Wycena!$C$16=78,Mapping!AY136,AZ136)</f>
        <v>1</v>
      </c>
      <c r="BD136">
        <v>313</v>
      </c>
      <c r="BE136">
        <v>1</v>
      </c>
      <c r="BF136">
        <v>1</v>
      </c>
      <c r="BG136">
        <f>IF(Wycena!$C$16=78,Mapping!BE136,BF136)</f>
        <v>1</v>
      </c>
    </row>
    <row r="137" spans="1:59" x14ac:dyDescent="0.35">
      <c r="A137" t="s">
        <v>218</v>
      </c>
      <c r="B137">
        <v>20</v>
      </c>
      <c r="C137">
        <v>20</v>
      </c>
      <c r="D137" t="s">
        <v>263</v>
      </c>
      <c r="E137" t="s">
        <v>263</v>
      </c>
      <c r="F137">
        <v>20</v>
      </c>
      <c r="G137">
        <v>28</v>
      </c>
      <c r="H137">
        <v>36</v>
      </c>
      <c r="I137">
        <v>36</v>
      </c>
      <c r="Y137" t="s">
        <v>679</v>
      </c>
      <c r="Z137">
        <v>500</v>
      </c>
      <c r="AA137" t="str">
        <f t="shared" si="16"/>
        <v>RAL 6010</v>
      </c>
      <c r="AB137" t="str">
        <f>IF((VLOOKUP(Wycena!$C$7,Mapping!$Q$15:$R$20,2,0))="tak","",AA137)</f>
        <v>RAL 6010</v>
      </c>
      <c r="AC137" t="e" cm="1">
        <f t="array" ref="AC137">IF(ROWS($AB$3:AB137)&gt;(ROWS($AB$3:$AB$229)-COUNTBLANK($AB$3:$AB$229)),"",INDEX($AB$3:$AB$229,SMALL(IF($AB$3:$AB$229&lt;&gt;"",ROW($AB$3:$AB$229)-2),ROWS($AB$3:AB137))))</f>
        <v>#N/A</v>
      </c>
      <c r="AX137">
        <v>206</v>
      </c>
      <c r="AY137">
        <v>2</v>
      </c>
      <c r="AZ137">
        <v>1</v>
      </c>
      <c r="BA137">
        <f>IF(Wycena!$C$16=78,Mapping!AY137,AZ137)</f>
        <v>1</v>
      </c>
      <c r="BD137">
        <v>314</v>
      </c>
      <c r="BE137">
        <v>1</v>
      </c>
      <c r="BF137">
        <v>1</v>
      </c>
      <c r="BG137">
        <f>IF(Wycena!$C$16=78,Mapping!BE137,BF137)</f>
        <v>1</v>
      </c>
    </row>
    <row r="138" spans="1:59" x14ac:dyDescent="0.35">
      <c r="A138" t="s">
        <v>219</v>
      </c>
      <c r="B138">
        <v>20</v>
      </c>
      <c r="C138">
        <v>20</v>
      </c>
      <c r="D138" t="s">
        <v>263</v>
      </c>
      <c r="E138" t="s">
        <v>263</v>
      </c>
      <c r="F138">
        <v>20</v>
      </c>
      <c r="G138">
        <v>28</v>
      </c>
      <c r="H138">
        <v>36</v>
      </c>
      <c r="I138">
        <v>36</v>
      </c>
      <c r="Y138" t="s">
        <v>680</v>
      </c>
      <c r="Z138">
        <v>500</v>
      </c>
      <c r="AA138" t="str">
        <f t="shared" si="16"/>
        <v>RAL 6011</v>
      </c>
      <c r="AB138" t="str">
        <f>IF((VLOOKUP(Wycena!$C$7,Mapping!$Q$15:$R$20,2,0))="tak","",AA138)</f>
        <v>RAL 6011</v>
      </c>
      <c r="AC138" t="e" cm="1">
        <f t="array" ref="AC138">IF(ROWS($AB$3:AB138)&gt;(ROWS($AB$3:$AB$229)-COUNTBLANK($AB$3:$AB$229)),"",INDEX($AB$3:$AB$229,SMALL(IF($AB$3:$AB$229&lt;&gt;"",ROW($AB$3:$AB$229)-2),ROWS($AB$3:AB138))))</f>
        <v>#N/A</v>
      </c>
      <c r="AX138">
        <v>207</v>
      </c>
      <c r="AY138">
        <v>2</v>
      </c>
      <c r="AZ138">
        <v>2</v>
      </c>
      <c r="BA138">
        <f>IF(Wycena!$C$16=78,Mapping!AY138,AZ138)</f>
        <v>2</v>
      </c>
      <c r="BD138">
        <v>315</v>
      </c>
      <c r="BE138">
        <v>1</v>
      </c>
      <c r="BF138">
        <v>1</v>
      </c>
      <c r="BG138">
        <f>IF(Wycena!$C$16=78,Mapping!BE138,BF138)</f>
        <v>1</v>
      </c>
    </row>
    <row r="139" spans="1:59" x14ac:dyDescent="0.35">
      <c r="A139" t="s">
        <v>220</v>
      </c>
      <c r="B139">
        <v>20</v>
      </c>
      <c r="C139">
        <v>20</v>
      </c>
      <c r="D139" t="s">
        <v>263</v>
      </c>
      <c r="E139" t="s">
        <v>263</v>
      </c>
      <c r="F139">
        <v>20</v>
      </c>
      <c r="G139">
        <v>36</v>
      </c>
      <c r="H139">
        <v>36</v>
      </c>
      <c r="I139">
        <v>36</v>
      </c>
      <c r="Y139" t="s">
        <v>681</v>
      </c>
      <c r="Z139">
        <v>500</v>
      </c>
      <c r="AA139" t="str">
        <f t="shared" si="16"/>
        <v>RAL 6012</v>
      </c>
      <c r="AB139" t="str">
        <f>IF((VLOOKUP(Wycena!$C$7,Mapping!$Q$15:$R$20,2,0))="tak","",AA139)</f>
        <v>RAL 6012</v>
      </c>
      <c r="AC139" t="e" cm="1">
        <f t="array" ref="AC139">IF(ROWS($AB$3:AB139)&gt;(ROWS($AB$3:$AB$229)-COUNTBLANK($AB$3:$AB$229)),"",INDEX($AB$3:$AB$229,SMALL(IF($AB$3:$AB$229&lt;&gt;"",ROW($AB$3:$AB$229)-2),ROWS($AB$3:AB139))))</f>
        <v>#N/A</v>
      </c>
      <c r="AX139">
        <v>208</v>
      </c>
      <c r="AY139">
        <v>2</v>
      </c>
      <c r="AZ139">
        <v>2</v>
      </c>
      <c r="BA139">
        <f>IF(Wycena!$C$16=78,Mapping!AY139,AZ139)</f>
        <v>2</v>
      </c>
      <c r="BD139">
        <v>316</v>
      </c>
      <c r="BE139">
        <v>1</v>
      </c>
      <c r="BF139">
        <v>1</v>
      </c>
      <c r="BG139">
        <f>IF(Wycena!$C$16=78,Mapping!BE139,BF139)</f>
        <v>1</v>
      </c>
    </row>
    <row r="140" spans="1:59" x14ac:dyDescent="0.35">
      <c r="A140" t="s">
        <v>221</v>
      </c>
      <c r="B140">
        <v>20</v>
      </c>
      <c r="C140">
        <v>20</v>
      </c>
      <c r="D140" t="s">
        <v>263</v>
      </c>
      <c r="E140" t="s">
        <v>263</v>
      </c>
      <c r="F140">
        <v>20</v>
      </c>
      <c r="G140">
        <v>36</v>
      </c>
      <c r="H140">
        <v>36</v>
      </c>
      <c r="I140">
        <v>36</v>
      </c>
      <c r="Y140" t="s">
        <v>682</v>
      </c>
      <c r="Z140">
        <v>500</v>
      </c>
      <c r="AA140" t="str">
        <f t="shared" si="16"/>
        <v>RAL 6013</v>
      </c>
      <c r="AB140" t="str">
        <f>IF((VLOOKUP(Wycena!$C$7,Mapping!$Q$15:$R$20,2,0))="tak","",AA140)</f>
        <v>RAL 6013</v>
      </c>
      <c r="AC140" t="e" cm="1">
        <f t="array" ref="AC140">IF(ROWS($AB$3:AB140)&gt;(ROWS($AB$3:$AB$229)-COUNTBLANK($AB$3:$AB$229)),"",INDEX($AB$3:$AB$229,SMALL(IF($AB$3:$AB$229&lt;&gt;"",ROW($AB$3:$AB$229)-2),ROWS($AB$3:AB140))))</f>
        <v>#N/A</v>
      </c>
      <c r="AX140">
        <v>209</v>
      </c>
      <c r="AY140">
        <v>2</v>
      </c>
      <c r="AZ140">
        <v>2</v>
      </c>
      <c r="BA140">
        <f>IF(Wycena!$C$16=78,Mapping!AY140,AZ140)</f>
        <v>2</v>
      </c>
      <c r="BD140">
        <v>317</v>
      </c>
      <c r="BE140">
        <v>1</v>
      </c>
      <c r="BF140">
        <v>1</v>
      </c>
      <c r="BG140">
        <f>IF(Wycena!$C$16=78,Mapping!BE140,BF140)</f>
        <v>1</v>
      </c>
    </row>
    <row r="141" spans="1:59" x14ac:dyDescent="0.35">
      <c r="A141" t="s">
        <v>222</v>
      </c>
      <c r="B141">
        <v>20</v>
      </c>
      <c r="C141">
        <v>20</v>
      </c>
      <c r="D141" t="s">
        <v>263</v>
      </c>
      <c r="E141" t="s">
        <v>263</v>
      </c>
      <c r="F141">
        <v>20</v>
      </c>
      <c r="G141">
        <v>28</v>
      </c>
      <c r="H141">
        <v>36</v>
      </c>
      <c r="I141">
        <v>36</v>
      </c>
      <c r="Y141" t="s">
        <v>683</v>
      </c>
      <c r="Z141">
        <v>500</v>
      </c>
      <c r="AA141" t="str">
        <f t="shared" si="16"/>
        <v>RAL 6014</v>
      </c>
      <c r="AB141" t="str">
        <f>IF((VLOOKUP(Wycena!$C$7,Mapping!$Q$15:$R$20,2,0))="tak","",AA141)</f>
        <v>RAL 6014</v>
      </c>
      <c r="AC141" t="e" cm="1">
        <f t="array" ref="AC141">IF(ROWS($AB$3:AB141)&gt;(ROWS($AB$3:$AB$229)-COUNTBLANK($AB$3:$AB$229)),"",INDEX($AB$3:$AB$229,SMALL(IF($AB$3:$AB$229&lt;&gt;"",ROW($AB$3:$AB$229)-2),ROWS($AB$3:AB141))))</f>
        <v>#N/A</v>
      </c>
      <c r="AX141">
        <v>210</v>
      </c>
      <c r="AY141">
        <v>2</v>
      </c>
      <c r="AZ141">
        <v>2</v>
      </c>
      <c r="BA141">
        <f>IF(Wycena!$C$16=78,Mapping!AY141,AZ141)</f>
        <v>2</v>
      </c>
      <c r="BD141">
        <v>318</v>
      </c>
      <c r="BE141">
        <v>1</v>
      </c>
      <c r="BF141">
        <v>1</v>
      </c>
      <c r="BG141">
        <f>IF(Wycena!$C$16=78,Mapping!BE141,BF141)</f>
        <v>1</v>
      </c>
    </row>
    <row r="142" spans="1:59" x14ac:dyDescent="0.35">
      <c r="A142" t="s">
        <v>223</v>
      </c>
      <c r="B142">
        <v>20</v>
      </c>
      <c r="C142">
        <v>20</v>
      </c>
      <c r="D142" t="s">
        <v>263</v>
      </c>
      <c r="E142" t="s">
        <v>263</v>
      </c>
      <c r="Y142" t="s">
        <v>684</v>
      </c>
      <c r="Z142">
        <v>500</v>
      </c>
      <c r="AA142" t="str">
        <f t="shared" si="16"/>
        <v>RAL 6015</v>
      </c>
      <c r="AB142" t="str">
        <f>IF((VLOOKUP(Wycena!$C$7,Mapping!$Q$15:$R$20,2,0))="tak","",AA142)</f>
        <v>RAL 6015</v>
      </c>
      <c r="AC142" t="e" cm="1">
        <f t="array" ref="AC142">IF(ROWS($AB$3:AB142)&gt;(ROWS($AB$3:$AB$229)-COUNTBLANK($AB$3:$AB$229)),"",INDEX($AB$3:$AB$229,SMALL(IF($AB$3:$AB$229&lt;&gt;"",ROW($AB$3:$AB$229)-2),ROWS($AB$3:AB142))))</f>
        <v>#N/A</v>
      </c>
      <c r="AX142">
        <v>211</v>
      </c>
      <c r="AY142">
        <v>2</v>
      </c>
      <c r="AZ142">
        <v>2</v>
      </c>
      <c r="BA142">
        <f>IF(Wycena!$C$16=78,Mapping!AY142,AZ142)</f>
        <v>2</v>
      </c>
      <c r="BD142">
        <v>319</v>
      </c>
      <c r="BE142">
        <v>1</v>
      </c>
      <c r="BF142">
        <v>1</v>
      </c>
      <c r="BG142">
        <f>IF(Wycena!$C$16=78,Mapping!BE142,BF142)</f>
        <v>1</v>
      </c>
    </row>
    <row r="143" spans="1:59" x14ac:dyDescent="0.35">
      <c r="A143" t="s">
        <v>225</v>
      </c>
      <c r="B143">
        <v>20</v>
      </c>
      <c r="C143">
        <v>20</v>
      </c>
      <c r="D143" t="s">
        <v>263</v>
      </c>
      <c r="E143" t="s">
        <v>263</v>
      </c>
      <c r="Y143" t="s">
        <v>685</v>
      </c>
      <c r="Z143">
        <v>500</v>
      </c>
      <c r="AA143" t="str">
        <f t="shared" si="16"/>
        <v>RAL 6016</v>
      </c>
      <c r="AB143" t="str">
        <f>IF((VLOOKUP(Wycena!$C$7,Mapping!$Q$15:$R$20,2,0))="tak","",AA143)</f>
        <v>RAL 6016</v>
      </c>
      <c r="AC143" t="e" cm="1">
        <f t="array" ref="AC143">IF(ROWS($AB$3:AB143)&gt;(ROWS($AB$3:$AB$229)-COUNTBLANK($AB$3:$AB$229)),"",INDEX($AB$3:$AB$229,SMALL(IF($AB$3:$AB$229&lt;&gt;"",ROW($AB$3:$AB$229)-2),ROWS($AB$3:AB143))))</f>
        <v>#N/A</v>
      </c>
      <c r="AX143">
        <v>212</v>
      </c>
      <c r="AY143">
        <v>2</v>
      </c>
      <c r="AZ143">
        <v>2</v>
      </c>
      <c r="BA143">
        <f>IF(Wycena!$C$16=78,Mapping!AY143,AZ143)</f>
        <v>2</v>
      </c>
      <c r="BD143">
        <v>320</v>
      </c>
      <c r="BE143">
        <v>1</v>
      </c>
      <c r="BF143">
        <v>1</v>
      </c>
      <c r="BG143">
        <f>IF(Wycena!$C$16=78,Mapping!BE143,BF143)</f>
        <v>1</v>
      </c>
    </row>
    <row r="144" spans="1:59" x14ac:dyDescent="0.35">
      <c r="A144" t="s">
        <v>226</v>
      </c>
      <c r="B144">
        <v>20</v>
      </c>
      <c r="C144">
        <v>20</v>
      </c>
      <c r="D144" t="s">
        <v>263</v>
      </c>
      <c r="E144" t="s">
        <v>263</v>
      </c>
      <c r="Y144" t="s">
        <v>686</v>
      </c>
      <c r="Z144">
        <v>500</v>
      </c>
      <c r="AA144" t="str">
        <f t="shared" si="16"/>
        <v>RAL 6017</v>
      </c>
      <c r="AB144" t="str">
        <f>IF((VLOOKUP(Wycena!$C$7,Mapping!$Q$15:$R$20,2,0))="tak","",AA144)</f>
        <v>RAL 6017</v>
      </c>
      <c r="AC144" t="e" cm="1">
        <f t="array" ref="AC144">IF(ROWS($AB$3:AB144)&gt;(ROWS($AB$3:$AB$229)-COUNTBLANK($AB$3:$AB$229)),"",INDEX($AB$3:$AB$229,SMALL(IF($AB$3:$AB$229&lt;&gt;"",ROW($AB$3:$AB$229)-2),ROWS($AB$3:AB144))))</f>
        <v>#N/A</v>
      </c>
      <c r="AX144">
        <v>213</v>
      </c>
      <c r="AY144">
        <v>2</v>
      </c>
      <c r="AZ144">
        <v>2</v>
      </c>
      <c r="BA144">
        <f>IF(Wycena!$C$16=78,Mapping!AY144,AZ144)</f>
        <v>2</v>
      </c>
      <c r="BD144">
        <v>321</v>
      </c>
      <c r="BE144">
        <v>1</v>
      </c>
      <c r="BF144">
        <v>1</v>
      </c>
      <c r="BG144">
        <f>IF(Wycena!$C$16=78,Mapping!BE144,BF144)</f>
        <v>1</v>
      </c>
    </row>
    <row r="145" spans="1:59" x14ac:dyDescent="0.35">
      <c r="A145" t="s">
        <v>227</v>
      </c>
      <c r="B145">
        <v>20</v>
      </c>
      <c r="C145">
        <v>20</v>
      </c>
      <c r="D145" t="s">
        <v>263</v>
      </c>
      <c r="E145" t="s">
        <v>263</v>
      </c>
      <c r="Y145" t="s">
        <v>687</v>
      </c>
      <c r="Z145">
        <v>500</v>
      </c>
      <c r="AA145" t="str">
        <f t="shared" si="16"/>
        <v>RAL 6018</v>
      </c>
      <c r="AB145" t="str">
        <f>IF((VLOOKUP(Wycena!$C$7,Mapping!$Q$15:$R$20,2,0))="tak","",AA145)</f>
        <v>RAL 6018</v>
      </c>
      <c r="AC145" t="e" cm="1">
        <f t="array" ref="AC145">IF(ROWS($AB$3:AB145)&gt;(ROWS($AB$3:$AB$229)-COUNTBLANK($AB$3:$AB$229)),"",INDEX($AB$3:$AB$229,SMALL(IF($AB$3:$AB$229&lt;&gt;"",ROW($AB$3:$AB$229)-2),ROWS($AB$3:AB145))))</f>
        <v>#N/A</v>
      </c>
      <c r="AX145">
        <v>214</v>
      </c>
      <c r="AY145">
        <v>2</v>
      </c>
      <c r="AZ145">
        <v>2</v>
      </c>
      <c r="BA145">
        <f>IF(Wycena!$C$16=78,Mapping!AY145,AZ145)</f>
        <v>2</v>
      </c>
      <c r="BD145">
        <v>322</v>
      </c>
      <c r="BE145">
        <v>1</v>
      </c>
      <c r="BF145">
        <v>1</v>
      </c>
      <c r="BG145">
        <f>IF(Wycena!$C$16=78,Mapping!BE145,BF145)</f>
        <v>1</v>
      </c>
    </row>
    <row r="146" spans="1:59" x14ac:dyDescent="0.35">
      <c r="A146" t="s">
        <v>228</v>
      </c>
      <c r="B146">
        <v>20</v>
      </c>
      <c r="C146">
        <v>20</v>
      </c>
      <c r="D146" t="s">
        <v>263</v>
      </c>
      <c r="E146" t="s">
        <v>263</v>
      </c>
      <c r="Y146" t="s">
        <v>688</v>
      </c>
      <c r="Z146">
        <v>500</v>
      </c>
      <c r="AA146" t="str">
        <f t="shared" si="16"/>
        <v>RAL 6019</v>
      </c>
      <c r="AB146" t="str">
        <f>IF((VLOOKUP(Wycena!$C$7,Mapping!$Q$15:$R$20,2,0))="tak","",AA146)</f>
        <v>RAL 6019</v>
      </c>
      <c r="AC146" t="e" cm="1">
        <f t="array" ref="AC146">IF(ROWS($AB$3:AB146)&gt;(ROWS($AB$3:$AB$229)-COUNTBLANK($AB$3:$AB$229)),"",INDEX($AB$3:$AB$229,SMALL(IF($AB$3:$AB$229&lt;&gt;"",ROW($AB$3:$AB$229)-2),ROWS($AB$3:AB146))))</f>
        <v>#N/A</v>
      </c>
      <c r="AX146">
        <v>215</v>
      </c>
      <c r="AY146">
        <v>2</v>
      </c>
      <c r="AZ146">
        <v>2</v>
      </c>
      <c r="BA146">
        <f>IF(Wycena!$C$16=78,Mapping!AY146,AZ146)</f>
        <v>2</v>
      </c>
      <c r="BD146">
        <v>323</v>
      </c>
      <c r="BE146">
        <v>1</v>
      </c>
      <c r="BF146">
        <v>1</v>
      </c>
      <c r="BG146">
        <f>IF(Wycena!$C$16=78,Mapping!BE146,BF146)</f>
        <v>1</v>
      </c>
    </row>
    <row r="147" spans="1:59" x14ac:dyDescent="0.35">
      <c r="A147" t="s">
        <v>229</v>
      </c>
      <c r="B147">
        <v>20</v>
      </c>
      <c r="C147">
        <v>20</v>
      </c>
      <c r="D147" t="s">
        <v>263</v>
      </c>
      <c r="E147" t="s">
        <v>263</v>
      </c>
      <c r="Y147" t="s">
        <v>689</v>
      </c>
      <c r="Z147">
        <v>500</v>
      </c>
      <c r="AA147" t="str">
        <f t="shared" si="16"/>
        <v>RAL 6020</v>
      </c>
      <c r="AB147" t="str">
        <f>IF((VLOOKUP(Wycena!$C$7,Mapping!$Q$15:$R$20,2,0))="tak","",AA147)</f>
        <v>RAL 6020</v>
      </c>
      <c r="AC147" t="e" cm="1">
        <f t="array" ref="AC147">IF(ROWS($AB$3:AB147)&gt;(ROWS($AB$3:$AB$229)-COUNTBLANK($AB$3:$AB$229)),"",INDEX($AB$3:$AB$229,SMALL(IF($AB$3:$AB$229&lt;&gt;"",ROW($AB$3:$AB$229)-2),ROWS($AB$3:AB147))))</f>
        <v>#N/A</v>
      </c>
      <c r="AX147">
        <v>216</v>
      </c>
      <c r="AY147">
        <v>2</v>
      </c>
      <c r="AZ147">
        <v>2</v>
      </c>
      <c r="BA147">
        <f>IF(Wycena!$C$16=78,Mapping!AY147,AZ147)</f>
        <v>2</v>
      </c>
      <c r="BD147">
        <v>324</v>
      </c>
      <c r="BE147">
        <v>1</v>
      </c>
      <c r="BF147">
        <v>1</v>
      </c>
      <c r="BG147">
        <f>IF(Wycena!$C$16=78,Mapping!BE147,BF147)</f>
        <v>1</v>
      </c>
    </row>
    <row r="148" spans="1:59" x14ac:dyDescent="0.35">
      <c r="A148" t="s">
        <v>230</v>
      </c>
      <c r="B148">
        <v>20</v>
      </c>
      <c r="C148">
        <v>20</v>
      </c>
      <c r="D148" t="s">
        <v>263</v>
      </c>
      <c r="E148" t="s">
        <v>263</v>
      </c>
      <c r="Y148" t="s">
        <v>690</v>
      </c>
      <c r="Z148">
        <v>500</v>
      </c>
      <c r="AA148" t="str">
        <f t="shared" si="16"/>
        <v>RAL 6021</v>
      </c>
      <c r="AB148" t="str">
        <f>IF((VLOOKUP(Wycena!$C$7,Mapping!$Q$15:$R$20,2,0))="tak","",AA148)</f>
        <v>RAL 6021</v>
      </c>
      <c r="AC148" t="e" cm="1">
        <f t="array" ref="AC148">IF(ROWS($AB$3:AB148)&gt;(ROWS($AB$3:$AB$229)-COUNTBLANK($AB$3:$AB$229)),"",INDEX($AB$3:$AB$229,SMALL(IF($AB$3:$AB$229&lt;&gt;"",ROW($AB$3:$AB$229)-2),ROWS($AB$3:AB148))))</f>
        <v>#N/A</v>
      </c>
      <c r="AX148">
        <v>217</v>
      </c>
      <c r="AY148">
        <v>2</v>
      </c>
      <c r="AZ148">
        <v>2</v>
      </c>
      <c r="BA148">
        <f>IF(Wycena!$C$16=78,Mapping!AY148,AZ148)</f>
        <v>2</v>
      </c>
      <c r="BD148">
        <v>325</v>
      </c>
      <c r="BE148">
        <v>1</v>
      </c>
      <c r="BF148">
        <v>1</v>
      </c>
      <c r="BG148">
        <f>IF(Wycena!$C$16=78,Mapping!BE148,BF148)</f>
        <v>1</v>
      </c>
    </row>
    <row r="149" spans="1:59" x14ac:dyDescent="0.35">
      <c r="A149" t="s">
        <v>231</v>
      </c>
      <c r="B149">
        <v>20</v>
      </c>
      <c r="C149">
        <v>20</v>
      </c>
      <c r="D149" t="s">
        <v>263</v>
      </c>
      <c r="E149" t="s">
        <v>263</v>
      </c>
      <c r="Y149" t="s">
        <v>691</v>
      </c>
      <c r="Z149">
        <v>500</v>
      </c>
      <c r="AA149" t="str">
        <f t="shared" si="16"/>
        <v>RAL 6022</v>
      </c>
      <c r="AB149" t="str">
        <f>IF((VLOOKUP(Wycena!$C$7,Mapping!$Q$15:$R$20,2,0))="tak","",AA149)</f>
        <v>RAL 6022</v>
      </c>
      <c r="AC149" t="e" cm="1">
        <f t="array" ref="AC149">IF(ROWS($AB$3:AB149)&gt;(ROWS($AB$3:$AB$229)-COUNTBLANK($AB$3:$AB$229)),"",INDEX($AB$3:$AB$229,SMALL(IF($AB$3:$AB$229&lt;&gt;"",ROW($AB$3:$AB$229)-2),ROWS($AB$3:AB149))))</f>
        <v>#N/A</v>
      </c>
      <c r="AX149">
        <v>218</v>
      </c>
      <c r="AY149">
        <v>2</v>
      </c>
      <c r="AZ149">
        <v>2</v>
      </c>
      <c r="BA149">
        <f>IF(Wycena!$C$16=78,Mapping!AY149,AZ149)</f>
        <v>2</v>
      </c>
      <c r="BD149">
        <v>326</v>
      </c>
      <c r="BE149">
        <v>1</v>
      </c>
      <c r="BF149">
        <v>1</v>
      </c>
      <c r="BG149">
        <f>IF(Wycena!$C$16=78,Mapping!BE149,BF149)</f>
        <v>1</v>
      </c>
    </row>
    <row r="150" spans="1:59" x14ac:dyDescent="0.35">
      <c r="A150" t="s">
        <v>232</v>
      </c>
      <c r="B150">
        <v>20</v>
      </c>
      <c r="C150">
        <v>20</v>
      </c>
      <c r="D150" t="s">
        <v>263</v>
      </c>
      <c r="E150" t="s">
        <v>263</v>
      </c>
      <c r="Y150" t="s">
        <v>692</v>
      </c>
      <c r="Z150">
        <v>500</v>
      </c>
      <c r="AA150" t="str">
        <f t="shared" si="16"/>
        <v>RAL 6024</v>
      </c>
      <c r="AB150" t="str">
        <f>IF((VLOOKUP(Wycena!$C$7,Mapping!$Q$15:$R$20,2,0))="tak","",AA150)</f>
        <v>RAL 6024</v>
      </c>
      <c r="AC150" t="e" cm="1">
        <f t="array" ref="AC150">IF(ROWS($AB$3:AB150)&gt;(ROWS($AB$3:$AB$229)-COUNTBLANK($AB$3:$AB$229)),"",INDEX($AB$3:$AB$229,SMALL(IF($AB$3:$AB$229&lt;&gt;"",ROW($AB$3:$AB$229)-2),ROWS($AB$3:AB150))))</f>
        <v>#N/A</v>
      </c>
      <c r="AX150">
        <v>219</v>
      </c>
      <c r="AY150">
        <v>2</v>
      </c>
      <c r="AZ150">
        <v>2</v>
      </c>
      <c r="BA150">
        <f>IF(Wycena!$C$16=78,Mapping!AY150,AZ150)</f>
        <v>2</v>
      </c>
      <c r="BD150">
        <v>327</v>
      </c>
      <c r="BE150">
        <v>1</v>
      </c>
      <c r="BF150">
        <v>1</v>
      </c>
      <c r="BG150">
        <f>IF(Wycena!$C$16=78,Mapping!BE150,BF150)</f>
        <v>1</v>
      </c>
    </row>
    <row r="151" spans="1:59" x14ac:dyDescent="0.35">
      <c r="A151" t="s">
        <v>233</v>
      </c>
      <c r="B151">
        <v>20</v>
      </c>
      <c r="C151">
        <v>20</v>
      </c>
      <c r="D151" t="s">
        <v>263</v>
      </c>
      <c r="E151" t="s">
        <v>263</v>
      </c>
      <c r="Y151" t="s">
        <v>693</v>
      </c>
      <c r="Z151">
        <v>500</v>
      </c>
      <c r="AA151" t="str">
        <f t="shared" si="16"/>
        <v>RAL 6025</v>
      </c>
      <c r="AB151" t="str">
        <f>IF((VLOOKUP(Wycena!$C$7,Mapping!$Q$15:$R$20,2,0))="tak","",AA151)</f>
        <v>RAL 6025</v>
      </c>
      <c r="AC151" t="e" cm="1">
        <f t="array" ref="AC151">IF(ROWS($AB$3:AB151)&gt;(ROWS($AB$3:$AB$229)-COUNTBLANK($AB$3:$AB$229)),"",INDEX($AB$3:$AB$229,SMALL(IF($AB$3:$AB$229&lt;&gt;"",ROW($AB$3:$AB$229)-2),ROWS($AB$3:AB151))))</f>
        <v>#N/A</v>
      </c>
      <c r="AX151">
        <v>220</v>
      </c>
      <c r="AY151">
        <v>2</v>
      </c>
      <c r="AZ151">
        <v>2</v>
      </c>
      <c r="BA151">
        <f>IF(Wycena!$C$16=78,Mapping!AY151,AZ151)</f>
        <v>2</v>
      </c>
      <c r="BD151">
        <v>328</v>
      </c>
      <c r="BE151">
        <v>1</v>
      </c>
      <c r="BF151">
        <v>1</v>
      </c>
      <c r="BG151">
        <f>IF(Wycena!$C$16=78,Mapping!BE151,BF151)</f>
        <v>1</v>
      </c>
    </row>
    <row r="152" spans="1:59" x14ac:dyDescent="0.35">
      <c r="A152" t="s">
        <v>234</v>
      </c>
      <c r="B152">
        <v>20</v>
      </c>
      <c r="C152">
        <v>20</v>
      </c>
      <c r="D152" t="s">
        <v>263</v>
      </c>
      <c r="E152" t="s">
        <v>263</v>
      </c>
      <c r="F152">
        <v>20</v>
      </c>
      <c r="G152">
        <v>32</v>
      </c>
      <c r="H152">
        <v>36</v>
      </c>
      <c r="I152">
        <v>36</v>
      </c>
      <c r="Y152" t="s">
        <v>694</v>
      </c>
      <c r="Z152">
        <v>500</v>
      </c>
      <c r="AA152" t="str">
        <f t="shared" si="16"/>
        <v>RAL 6026</v>
      </c>
      <c r="AB152" t="str">
        <f>IF((VLOOKUP(Wycena!$C$7,Mapping!$Q$15:$R$20,2,0))="tak","",AA152)</f>
        <v>RAL 6026</v>
      </c>
      <c r="AC152" t="e" cm="1">
        <f t="array" ref="AC152">IF(ROWS($AB$3:AB152)&gt;(ROWS($AB$3:$AB$229)-COUNTBLANK($AB$3:$AB$229)),"",INDEX($AB$3:$AB$229,SMALL(IF($AB$3:$AB$229&lt;&gt;"",ROW($AB$3:$AB$229)-2),ROWS($AB$3:AB152))))</f>
        <v>#N/A</v>
      </c>
      <c r="AX152">
        <v>221</v>
      </c>
      <c r="AY152">
        <v>2</v>
      </c>
      <c r="AZ152">
        <v>2</v>
      </c>
      <c r="BA152">
        <f>IF(Wycena!$C$16=78,Mapping!AY152,AZ152)</f>
        <v>2</v>
      </c>
      <c r="BD152">
        <v>329</v>
      </c>
      <c r="BE152">
        <v>1</v>
      </c>
      <c r="BF152">
        <v>1</v>
      </c>
      <c r="BG152">
        <f>IF(Wycena!$C$16=78,Mapping!BE152,BF152)</f>
        <v>1</v>
      </c>
    </row>
    <row r="153" spans="1:59" x14ac:dyDescent="0.35">
      <c r="A153" t="s">
        <v>240</v>
      </c>
      <c r="B153">
        <v>20</v>
      </c>
      <c r="C153">
        <v>20</v>
      </c>
      <c r="D153" t="s">
        <v>263</v>
      </c>
      <c r="E153" t="s">
        <v>263</v>
      </c>
      <c r="F153">
        <v>20</v>
      </c>
      <c r="G153">
        <v>32</v>
      </c>
      <c r="H153">
        <v>36</v>
      </c>
      <c r="I153">
        <v>36</v>
      </c>
      <c r="Y153" t="s">
        <v>695</v>
      </c>
      <c r="Z153">
        <v>500</v>
      </c>
      <c r="AA153" t="str">
        <f t="shared" si="16"/>
        <v>RAL 6027</v>
      </c>
      <c r="AB153" t="str">
        <f>IF((VLOOKUP(Wycena!$C$7,Mapping!$Q$15:$R$20,2,0))="tak","",AA153)</f>
        <v>RAL 6027</v>
      </c>
      <c r="AC153" t="e" cm="1">
        <f t="array" ref="AC153">IF(ROWS($AB$3:AB153)&gt;(ROWS($AB$3:$AB$229)-COUNTBLANK($AB$3:$AB$229)),"",INDEX($AB$3:$AB$229,SMALL(IF($AB$3:$AB$229&lt;&gt;"",ROW($AB$3:$AB$229)-2),ROWS($AB$3:AB153))))</f>
        <v>#N/A</v>
      </c>
      <c r="AX153">
        <v>222</v>
      </c>
      <c r="AY153">
        <v>2</v>
      </c>
      <c r="AZ153">
        <v>2</v>
      </c>
      <c r="BA153">
        <f>IF(Wycena!$C$16=78,Mapping!AY153,AZ153)</f>
        <v>2</v>
      </c>
      <c r="BD153">
        <v>330</v>
      </c>
      <c r="BE153">
        <v>1</v>
      </c>
      <c r="BF153">
        <v>1</v>
      </c>
      <c r="BG153">
        <f>IF(Wycena!$C$16=78,Mapping!BE153,BF153)</f>
        <v>1</v>
      </c>
    </row>
    <row r="154" spans="1:59" x14ac:dyDescent="0.35">
      <c r="A154" t="s">
        <v>241</v>
      </c>
      <c r="B154">
        <v>20</v>
      </c>
      <c r="C154">
        <v>20</v>
      </c>
      <c r="D154" t="s">
        <v>263</v>
      </c>
      <c r="E154" t="s">
        <v>263</v>
      </c>
      <c r="F154">
        <v>20</v>
      </c>
      <c r="G154">
        <v>32</v>
      </c>
      <c r="H154">
        <v>36</v>
      </c>
      <c r="I154">
        <v>36</v>
      </c>
      <c r="Y154" t="s">
        <v>696</v>
      </c>
      <c r="Z154">
        <v>500</v>
      </c>
      <c r="AA154" t="str">
        <f t="shared" si="16"/>
        <v>RAL 6028</v>
      </c>
      <c r="AB154" t="str">
        <f>IF((VLOOKUP(Wycena!$C$7,Mapping!$Q$15:$R$20,2,0))="tak","",AA154)</f>
        <v>RAL 6028</v>
      </c>
      <c r="AC154" t="e" cm="1">
        <f t="array" ref="AC154">IF(ROWS($AB$3:AB154)&gt;(ROWS($AB$3:$AB$229)-COUNTBLANK($AB$3:$AB$229)),"",INDEX($AB$3:$AB$229,SMALL(IF($AB$3:$AB$229&lt;&gt;"",ROW($AB$3:$AB$229)-2),ROWS($AB$3:AB154))))</f>
        <v>#N/A</v>
      </c>
      <c r="AX154">
        <v>223</v>
      </c>
      <c r="AY154">
        <v>2</v>
      </c>
      <c r="AZ154">
        <v>2</v>
      </c>
      <c r="BA154">
        <f>IF(Wycena!$C$16=78,Mapping!AY154,AZ154)</f>
        <v>2</v>
      </c>
      <c r="BD154">
        <v>331</v>
      </c>
      <c r="BE154">
        <v>1</v>
      </c>
      <c r="BF154">
        <v>1</v>
      </c>
      <c r="BG154">
        <f>IF(Wycena!$C$16=78,Mapping!BE154,BF154)</f>
        <v>1</v>
      </c>
    </row>
    <row r="155" spans="1:59" x14ac:dyDescent="0.35">
      <c r="A155" t="s">
        <v>242</v>
      </c>
      <c r="B155">
        <v>20</v>
      </c>
      <c r="C155">
        <v>20</v>
      </c>
      <c r="D155" t="s">
        <v>263</v>
      </c>
      <c r="E155" t="s">
        <v>263</v>
      </c>
      <c r="F155">
        <v>20</v>
      </c>
      <c r="G155">
        <v>32</v>
      </c>
      <c r="H155">
        <v>36</v>
      </c>
      <c r="I155">
        <v>36</v>
      </c>
      <c r="Y155" t="s">
        <v>697</v>
      </c>
      <c r="Z155">
        <v>500</v>
      </c>
      <c r="AA155" t="str">
        <f t="shared" si="16"/>
        <v>RAL 6029</v>
      </c>
      <c r="AB155" t="str">
        <f>IF((VLOOKUP(Wycena!$C$7,Mapping!$Q$15:$R$20,2,0))="tak","",AA155)</f>
        <v>RAL 6029</v>
      </c>
      <c r="AC155" t="e" cm="1">
        <f t="array" ref="AC155">IF(ROWS($AB$3:AB155)&gt;(ROWS($AB$3:$AB$229)-COUNTBLANK($AB$3:$AB$229)),"",INDEX($AB$3:$AB$229,SMALL(IF($AB$3:$AB$229&lt;&gt;"",ROW($AB$3:$AB$229)-2),ROWS($AB$3:AB155))))</f>
        <v>#N/A</v>
      </c>
      <c r="AX155">
        <v>224</v>
      </c>
      <c r="AY155">
        <v>2</v>
      </c>
      <c r="AZ155">
        <v>2</v>
      </c>
      <c r="BA155">
        <f>IF(Wycena!$C$16=78,Mapping!AY155,AZ155)</f>
        <v>2</v>
      </c>
      <c r="BD155">
        <v>332</v>
      </c>
      <c r="BE155">
        <v>1</v>
      </c>
      <c r="BF155">
        <v>1</v>
      </c>
      <c r="BG155">
        <f>IF(Wycena!$C$16=78,Mapping!BE155,BF155)</f>
        <v>1</v>
      </c>
    </row>
    <row r="156" spans="1:59" x14ac:dyDescent="0.35">
      <c r="A156" t="s">
        <v>243</v>
      </c>
      <c r="B156">
        <v>20</v>
      </c>
      <c r="C156">
        <v>20</v>
      </c>
      <c r="D156" t="s">
        <v>263</v>
      </c>
      <c r="E156" t="s">
        <v>263</v>
      </c>
      <c r="F156">
        <v>20</v>
      </c>
      <c r="G156">
        <v>32</v>
      </c>
      <c r="H156">
        <v>36</v>
      </c>
      <c r="I156">
        <v>36</v>
      </c>
      <c r="Y156" t="s">
        <v>698</v>
      </c>
      <c r="Z156">
        <v>500</v>
      </c>
      <c r="AA156" t="str">
        <f t="shared" si="16"/>
        <v>RAL 6032</v>
      </c>
      <c r="AB156" t="str">
        <f>IF((VLOOKUP(Wycena!$C$7,Mapping!$Q$15:$R$20,2,0))="tak","",AA156)</f>
        <v>RAL 6032</v>
      </c>
      <c r="AC156" t="e" cm="1">
        <f t="array" ref="AC156">IF(ROWS($AB$3:AB156)&gt;(ROWS($AB$3:$AB$229)-COUNTBLANK($AB$3:$AB$229)),"",INDEX($AB$3:$AB$229,SMALL(IF($AB$3:$AB$229&lt;&gt;"",ROW($AB$3:$AB$229)-2),ROWS($AB$3:AB156))))</f>
        <v>#N/A</v>
      </c>
      <c r="AX156">
        <v>225</v>
      </c>
      <c r="AY156">
        <v>2</v>
      </c>
      <c r="AZ156">
        <v>2</v>
      </c>
      <c r="BA156">
        <f>IF(Wycena!$C$16=78,Mapping!AY156,AZ156)</f>
        <v>2</v>
      </c>
      <c r="BD156">
        <v>333</v>
      </c>
      <c r="BE156">
        <v>1</v>
      </c>
      <c r="BF156">
        <v>1</v>
      </c>
      <c r="BG156">
        <f>IF(Wycena!$C$16=78,Mapping!BE156,BF156)</f>
        <v>1</v>
      </c>
    </row>
    <row r="157" spans="1:59" x14ac:dyDescent="0.35">
      <c r="A157" t="s">
        <v>244</v>
      </c>
      <c r="B157">
        <v>20</v>
      </c>
      <c r="C157">
        <v>20</v>
      </c>
      <c r="D157" t="s">
        <v>263</v>
      </c>
      <c r="E157" t="s">
        <v>263</v>
      </c>
      <c r="F157">
        <v>20</v>
      </c>
      <c r="G157">
        <v>32</v>
      </c>
      <c r="H157">
        <v>36</v>
      </c>
      <c r="I157">
        <v>36</v>
      </c>
      <c r="Y157" t="s">
        <v>699</v>
      </c>
      <c r="Z157">
        <v>500</v>
      </c>
      <c r="AA157" t="str">
        <f t="shared" si="16"/>
        <v>RAL 6033</v>
      </c>
      <c r="AB157" t="str">
        <f>IF((VLOOKUP(Wycena!$C$7,Mapping!$Q$15:$R$20,2,0))="tak","",AA157)</f>
        <v>RAL 6033</v>
      </c>
      <c r="AC157" t="e" cm="1">
        <f t="array" ref="AC157">IF(ROWS($AB$3:AB157)&gt;(ROWS($AB$3:$AB$229)-COUNTBLANK($AB$3:$AB$229)),"",INDEX($AB$3:$AB$229,SMALL(IF($AB$3:$AB$229&lt;&gt;"",ROW($AB$3:$AB$229)-2),ROWS($AB$3:AB157))))</f>
        <v>#N/A</v>
      </c>
      <c r="AX157">
        <v>226</v>
      </c>
      <c r="AY157">
        <v>2</v>
      </c>
      <c r="AZ157">
        <v>2</v>
      </c>
      <c r="BA157">
        <f>IF(Wycena!$C$16=78,Mapping!AY157,AZ157)</f>
        <v>2</v>
      </c>
      <c r="BD157">
        <v>334</v>
      </c>
      <c r="BE157">
        <v>1</v>
      </c>
      <c r="BF157">
        <v>1</v>
      </c>
      <c r="BG157">
        <f>IF(Wycena!$C$16=78,Mapping!BE157,BF157)</f>
        <v>1</v>
      </c>
    </row>
    <row r="158" spans="1:59" x14ac:dyDescent="0.35">
      <c r="A158" t="s">
        <v>245</v>
      </c>
      <c r="B158">
        <v>20</v>
      </c>
      <c r="C158">
        <v>20</v>
      </c>
      <c r="D158" t="s">
        <v>263</v>
      </c>
      <c r="E158" t="s">
        <v>263</v>
      </c>
      <c r="F158">
        <v>20</v>
      </c>
      <c r="G158">
        <v>32</v>
      </c>
      <c r="H158">
        <v>36</v>
      </c>
      <c r="I158">
        <v>36</v>
      </c>
      <c r="Y158" t="s">
        <v>700</v>
      </c>
      <c r="Z158">
        <v>500</v>
      </c>
      <c r="AA158" t="str">
        <f t="shared" si="16"/>
        <v>RAL 6034</v>
      </c>
      <c r="AB158" t="str">
        <f>IF((VLOOKUP(Wycena!$C$7,Mapping!$Q$15:$R$20,2,0))="tak","",AA158)</f>
        <v>RAL 6034</v>
      </c>
      <c r="AC158" t="e" cm="1">
        <f t="array" ref="AC158">IF(ROWS($AB$3:AB158)&gt;(ROWS($AB$3:$AB$229)-COUNTBLANK($AB$3:$AB$229)),"",INDEX($AB$3:$AB$229,SMALL(IF($AB$3:$AB$229&lt;&gt;"",ROW($AB$3:$AB$229)-2),ROWS($AB$3:AB158))))</f>
        <v>#N/A</v>
      </c>
      <c r="AX158">
        <v>227</v>
      </c>
      <c r="AY158">
        <v>2</v>
      </c>
      <c r="AZ158">
        <v>2</v>
      </c>
      <c r="BA158">
        <f>IF(Wycena!$C$16=78,Mapping!AY158,AZ158)</f>
        <v>2</v>
      </c>
      <c r="BD158">
        <v>335</v>
      </c>
      <c r="BE158">
        <v>1</v>
      </c>
      <c r="BF158">
        <v>1</v>
      </c>
      <c r="BG158">
        <f>IF(Wycena!$C$16=78,Mapping!BE158,BF158)</f>
        <v>1</v>
      </c>
    </row>
    <row r="159" spans="1:59" x14ac:dyDescent="0.35">
      <c r="A159" t="s">
        <v>246</v>
      </c>
      <c r="B159">
        <v>20</v>
      </c>
      <c r="C159">
        <v>20</v>
      </c>
      <c r="D159" t="s">
        <v>263</v>
      </c>
      <c r="E159" t="s">
        <v>263</v>
      </c>
      <c r="F159">
        <v>20</v>
      </c>
      <c r="G159">
        <v>32</v>
      </c>
      <c r="H159">
        <v>36</v>
      </c>
      <c r="I159">
        <v>36</v>
      </c>
      <c r="Y159" t="s">
        <v>701</v>
      </c>
      <c r="Z159">
        <v>500</v>
      </c>
      <c r="AA159" t="str">
        <f t="shared" si="16"/>
        <v>RAL 6035</v>
      </c>
      <c r="AB159" t="str">
        <f>IF((VLOOKUP(Wycena!$C$7,Mapping!$Q$15:$R$20,2,0))="tak","",AA159)</f>
        <v>RAL 6035</v>
      </c>
      <c r="AC159" t="e" cm="1">
        <f t="array" ref="AC159">IF(ROWS($AB$3:AB159)&gt;(ROWS($AB$3:$AB$229)-COUNTBLANK($AB$3:$AB$229)),"",INDEX($AB$3:$AB$229,SMALL(IF($AB$3:$AB$229&lt;&gt;"",ROW($AB$3:$AB$229)-2),ROWS($AB$3:AB159))))</f>
        <v>#N/A</v>
      </c>
      <c r="AX159">
        <v>228</v>
      </c>
      <c r="AY159">
        <v>2</v>
      </c>
      <c r="AZ159">
        <v>2</v>
      </c>
      <c r="BA159">
        <f>IF(Wycena!$C$16=78,Mapping!AY159,AZ159)</f>
        <v>2</v>
      </c>
      <c r="BD159">
        <v>336</v>
      </c>
      <c r="BE159">
        <v>1</v>
      </c>
      <c r="BF159">
        <v>1</v>
      </c>
      <c r="BG159">
        <f>IF(Wycena!$C$16=78,Mapping!BE159,BF159)</f>
        <v>1</v>
      </c>
    </row>
    <row r="160" spans="1:59" x14ac:dyDescent="0.35">
      <c r="A160" t="s">
        <v>248</v>
      </c>
      <c r="B160">
        <v>20</v>
      </c>
      <c r="C160">
        <v>20</v>
      </c>
      <c r="D160" t="s">
        <v>263</v>
      </c>
      <c r="E160" t="s">
        <v>263</v>
      </c>
      <c r="F160">
        <v>20</v>
      </c>
      <c r="G160">
        <v>32</v>
      </c>
      <c r="H160">
        <v>36</v>
      </c>
      <c r="I160">
        <v>36</v>
      </c>
      <c r="Y160" t="s">
        <v>702</v>
      </c>
      <c r="Z160">
        <v>500</v>
      </c>
      <c r="AA160" t="str">
        <f t="shared" si="16"/>
        <v>RAL 6036</v>
      </c>
      <c r="AB160" t="str">
        <f>IF((VLOOKUP(Wycena!$C$7,Mapping!$Q$15:$R$20,2,0))="tak","",AA160)</f>
        <v>RAL 6036</v>
      </c>
      <c r="AC160" t="e" cm="1">
        <f t="array" ref="AC160">IF(ROWS($AB$3:AB160)&gt;(ROWS($AB$3:$AB$229)-COUNTBLANK($AB$3:$AB$229)),"",INDEX($AB$3:$AB$229,SMALL(IF($AB$3:$AB$229&lt;&gt;"",ROW($AB$3:$AB$229)-2),ROWS($AB$3:AB160))))</f>
        <v>#N/A</v>
      </c>
      <c r="AX160">
        <v>230</v>
      </c>
      <c r="AY160">
        <v>2</v>
      </c>
      <c r="AZ160">
        <v>2</v>
      </c>
      <c r="BA160">
        <f>IF(Wycena!$C$16=78,Mapping!AY160,AZ160)</f>
        <v>2</v>
      </c>
      <c r="BD160">
        <v>338</v>
      </c>
      <c r="BE160">
        <v>1</v>
      </c>
      <c r="BF160">
        <v>1</v>
      </c>
      <c r="BG160">
        <f>IF(Wycena!$C$16=78,Mapping!BE160,BF160)</f>
        <v>1</v>
      </c>
    </row>
    <row r="161" spans="1:59" x14ac:dyDescent="0.35">
      <c r="A161" t="s">
        <v>249</v>
      </c>
      <c r="B161">
        <v>20</v>
      </c>
      <c r="C161">
        <v>20</v>
      </c>
      <c r="D161" t="s">
        <v>263</v>
      </c>
      <c r="E161" t="s">
        <v>263</v>
      </c>
      <c r="F161">
        <v>20</v>
      </c>
      <c r="G161">
        <v>32</v>
      </c>
      <c r="H161">
        <v>36</v>
      </c>
      <c r="I161">
        <v>36</v>
      </c>
      <c r="Y161" t="s">
        <v>703</v>
      </c>
      <c r="Z161">
        <v>500</v>
      </c>
      <c r="AA161" t="str">
        <f t="shared" si="16"/>
        <v>RAL 6038</v>
      </c>
      <c r="AB161" t="str">
        <f>IF((VLOOKUP(Wycena!$C$7,Mapping!$Q$15:$R$20,2,0))="tak","",AA161)</f>
        <v>RAL 6038</v>
      </c>
      <c r="AC161" t="e" cm="1">
        <f t="array" ref="AC161">IF(ROWS($AB$3:AB161)&gt;(ROWS($AB$3:$AB$229)-COUNTBLANK($AB$3:$AB$229)),"",INDEX($AB$3:$AB$229,SMALL(IF($AB$3:$AB$229&lt;&gt;"",ROW($AB$3:$AB$229)-2),ROWS($AB$3:AB161))))</f>
        <v>#N/A</v>
      </c>
      <c r="AX161">
        <v>231</v>
      </c>
      <c r="AY161">
        <v>2</v>
      </c>
      <c r="AZ161">
        <v>2</v>
      </c>
      <c r="BA161">
        <f>IF(Wycena!$C$16=78,Mapping!AY161,AZ161)</f>
        <v>2</v>
      </c>
      <c r="BD161">
        <v>339</v>
      </c>
      <c r="BE161">
        <v>1</v>
      </c>
      <c r="BF161">
        <v>1</v>
      </c>
      <c r="BG161">
        <f>IF(Wycena!$C$16=78,Mapping!BE161,BF161)</f>
        <v>1</v>
      </c>
    </row>
    <row r="162" spans="1:59" x14ac:dyDescent="0.35">
      <c r="A162" t="s">
        <v>251</v>
      </c>
      <c r="B162">
        <v>20</v>
      </c>
      <c r="C162">
        <v>20</v>
      </c>
      <c r="D162" t="s">
        <v>263</v>
      </c>
      <c r="E162" t="s">
        <v>263</v>
      </c>
      <c r="F162">
        <v>20</v>
      </c>
      <c r="G162">
        <v>32</v>
      </c>
      <c r="H162">
        <v>36</v>
      </c>
      <c r="I162">
        <v>36</v>
      </c>
      <c r="Y162" t="s">
        <v>704</v>
      </c>
      <c r="Z162">
        <v>500</v>
      </c>
      <c r="AA162" t="str">
        <f t="shared" si="16"/>
        <v>RAL 7000</v>
      </c>
      <c r="AB162" t="str">
        <f>IF((VLOOKUP(Wycena!$C$7,Mapping!$Q$15:$R$20,2,0))="tak","",AA162)</f>
        <v>RAL 7000</v>
      </c>
      <c r="AC162" t="e" cm="1">
        <f t="array" ref="AC162">IF(ROWS($AB$3:AB162)&gt;(ROWS($AB$3:$AB$229)-COUNTBLANK($AB$3:$AB$229)),"",INDEX($AB$3:$AB$229,SMALL(IF($AB$3:$AB$229&lt;&gt;"",ROW($AB$3:$AB$229)-2),ROWS($AB$3:AB162))))</f>
        <v>#N/A</v>
      </c>
      <c r="AX162">
        <v>232</v>
      </c>
      <c r="AY162">
        <v>2</v>
      </c>
      <c r="AZ162">
        <v>2</v>
      </c>
      <c r="BA162">
        <f>IF(Wycena!$C$16=78,Mapping!AY162,AZ162)</f>
        <v>2</v>
      </c>
      <c r="BD162">
        <v>340</v>
      </c>
      <c r="BE162">
        <v>1</v>
      </c>
      <c r="BF162">
        <v>1</v>
      </c>
      <c r="BG162">
        <f>IF(Wycena!$C$16=78,Mapping!BE162,BF162)</f>
        <v>1</v>
      </c>
    </row>
    <row r="163" spans="1:59" x14ac:dyDescent="0.35">
      <c r="A163" t="s">
        <v>252</v>
      </c>
      <c r="B163">
        <v>20</v>
      </c>
      <c r="C163">
        <v>20</v>
      </c>
      <c r="D163" t="s">
        <v>263</v>
      </c>
      <c r="E163" t="s">
        <v>263</v>
      </c>
      <c r="F163">
        <v>20</v>
      </c>
      <c r="G163">
        <v>32</v>
      </c>
      <c r="H163">
        <v>36</v>
      </c>
      <c r="I163">
        <v>36</v>
      </c>
      <c r="Y163" t="s">
        <v>705</v>
      </c>
      <c r="Z163">
        <v>500</v>
      </c>
      <c r="AA163" t="str">
        <f t="shared" si="16"/>
        <v>RAL 7001</v>
      </c>
      <c r="AB163" t="str">
        <f>IF((VLOOKUP(Wycena!$C$7,Mapping!$Q$15:$R$20,2,0))="tak","",AA163)</f>
        <v>RAL 7001</v>
      </c>
      <c r="AC163" t="e" cm="1">
        <f t="array" ref="AC163">IF(ROWS($AB$3:AB163)&gt;(ROWS($AB$3:$AB$229)-COUNTBLANK($AB$3:$AB$229)),"",INDEX($AB$3:$AB$229,SMALL(IF($AB$3:$AB$229&lt;&gt;"",ROW($AB$3:$AB$229)-2),ROWS($AB$3:AB163))))</f>
        <v>#N/A</v>
      </c>
      <c r="AX163">
        <v>233</v>
      </c>
      <c r="AY163">
        <v>2</v>
      </c>
      <c r="AZ163">
        <v>2</v>
      </c>
      <c r="BA163">
        <f>IF(Wycena!$C$16=78,Mapping!AY163,AZ163)</f>
        <v>2</v>
      </c>
      <c r="BD163">
        <v>341</v>
      </c>
      <c r="BE163">
        <v>1</v>
      </c>
      <c r="BF163">
        <v>1</v>
      </c>
      <c r="BG163">
        <f>IF(Wycena!$C$16=78,Mapping!BE163,BF163)</f>
        <v>1</v>
      </c>
    </row>
    <row r="164" spans="1:59" x14ac:dyDescent="0.35">
      <c r="A164" t="s">
        <v>253</v>
      </c>
      <c r="B164">
        <v>20</v>
      </c>
      <c r="C164">
        <v>20</v>
      </c>
      <c r="D164" t="s">
        <v>263</v>
      </c>
      <c r="E164" t="s">
        <v>263</v>
      </c>
      <c r="F164">
        <v>20</v>
      </c>
      <c r="G164">
        <v>32</v>
      </c>
      <c r="H164">
        <v>36</v>
      </c>
      <c r="I164">
        <v>36</v>
      </c>
      <c r="Y164" t="s">
        <v>706</v>
      </c>
      <c r="Z164">
        <v>500</v>
      </c>
      <c r="AA164" t="str">
        <f t="shared" si="16"/>
        <v>RAL 7002</v>
      </c>
      <c r="AB164" t="str">
        <f>IF((VLOOKUP(Wycena!$C$7,Mapping!$Q$15:$R$20,2,0))="tak","",AA164)</f>
        <v>RAL 7002</v>
      </c>
      <c r="AC164" t="e" cm="1">
        <f t="array" ref="AC164">IF(ROWS($AB$3:AB164)&gt;(ROWS($AB$3:$AB$229)-COUNTBLANK($AB$3:$AB$229)),"",INDEX($AB$3:$AB$229,SMALL(IF($AB$3:$AB$229&lt;&gt;"",ROW($AB$3:$AB$229)-2),ROWS($AB$3:AB164))))</f>
        <v>#N/A</v>
      </c>
      <c r="AX164">
        <v>234</v>
      </c>
      <c r="AY164">
        <v>2</v>
      </c>
      <c r="AZ164">
        <v>2</v>
      </c>
      <c r="BA164">
        <f>IF(Wycena!$C$16=78,Mapping!AY164,AZ164)</f>
        <v>2</v>
      </c>
      <c r="BD164">
        <v>342</v>
      </c>
      <c r="BE164">
        <v>1</v>
      </c>
      <c r="BF164">
        <v>1</v>
      </c>
      <c r="BG164">
        <f>IF(Wycena!$C$16=78,Mapping!BE164,BF164)</f>
        <v>1</v>
      </c>
    </row>
    <row r="165" spans="1:59" x14ac:dyDescent="0.35">
      <c r="A165" t="s">
        <v>254</v>
      </c>
      <c r="B165">
        <v>20</v>
      </c>
      <c r="C165">
        <v>20</v>
      </c>
      <c r="D165" t="s">
        <v>263</v>
      </c>
      <c r="E165" t="s">
        <v>263</v>
      </c>
      <c r="F165">
        <v>20</v>
      </c>
      <c r="G165">
        <v>32</v>
      </c>
      <c r="H165">
        <v>36</v>
      </c>
      <c r="I165">
        <v>36</v>
      </c>
      <c r="Y165" t="s">
        <v>707</v>
      </c>
      <c r="Z165">
        <v>500</v>
      </c>
      <c r="AA165" t="str">
        <f t="shared" si="16"/>
        <v>RAL 7003</v>
      </c>
      <c r="AB165" t="str">
        <f>IF((VLOOKUP(Wycena!$C$7,Mapping!$Q$15:$R$20,2,0))="tak","",AA165)</f>
        <v>RAL 7003</v>
      </c>
      <c r="AC165" t="e" cm="1">
        <f t="array" ref="AC165">IF(ROWS($AB$3:AB165)&gt;(ROWS($AB$3:$AB$229)-COUNTBLANK($AB$3:$AB$229)),"",INDEX($AB$3:$AB$229,SMALL(IF($AB$3:$AB$229&lt;&gt;"",ROW($AB$3:$AB$229)-2),ROWS($AB$3:AB165))))</f>
        <v>#N/A</v>
      </c>
      <c r="AX165">
        <v>235</v>
      </c>
      <c r="AY165">
        <v>2</v>
      </c>
      <c r="AZ165">
        <v>2</v>
      </c>
      <c r="BA165">
        <f>IF(Wycena!$C$16=78,Mapping!AY165,AZ165)</f>
        <v>2</v>
      </c>
      <c r="BD165">
        <v>343</v>
      </c>
      <c r="BE165">
        <v>1</v>
      </c>
      <c r="BF165">
        <v>1</v>
      </c>
      <c r="BG165">
        <f>IF(Wycena!$C$16=78,Mapping!BE165,BF165)</f>
        <v>1</v>
      </c>
    </row>
    <row r="166" spans="1:59" x14ac:dyDescent="0.35">
      <c r="A166" t="s">
        <v>255</v>
      </c>
      <c r="B166">
        <v>20</v>
      </c>
      <c r="C166">
        <v>20</v>
      </c>
      <c r="D166" t="s">
        <v>263</v>
      </c>
      <c r="E166" t="s">
        <v>263</v>
      </c>
      <c r="F166">
        <v>20</v>
      </c>
      <c r="G166">
        <v>32</v>
      </c>
      <c r="H166">
        <v>36</v>
      </c>
      <c r="I166">
        <v>36</v>
      </c>
      <c r="Y166" t="s">
        <v>708</v>
      </c>
      <c r="Z166">
        <v>500</v>
      </c>
      <c r="AA166" t="str">
        <f t="shared" si="16"/>
        <v>RAL 7004</v>
      </c>
      <c r="AB166" t="str">
        <f>IF((VLOOKUP(Wycena!$C$7,Mapping!$Q$15:$R$20,2,0))="tak","",AA166)</f>
        <v>RAL 7004</v>
      </c>
      <c r="AC166" t="e" cm="1">
        <f t="array" ref="AC166">IF(ROWS($AB$3:AB166)&gt;(ROWS($AB$3:$AB$229)-COUNTBLANK($AB$3:$AB$229)),"",INDEX($AB$3:$AB$229,SMALL(IF($AB$3:$AB$229&lt;&gt;"",ROW($AB$3:$AB$229)-2),ROWS($AB$3:AB166))))</f>
        <v>#N/A</v>
      </c>
      <c r="AX166">
        <v>236</v>
      </c>
      <c r="AY166">
        <v>2</v>
      </c>
      <c r="AZ166">
        <v>2</v>
      </c>
      <c r="BA166">
        <f>IF(Wycena!$C$16=78,Mapping!AY166,AZ166)</f>
        <v>2</v>
      </c>
      <c r="BD166">
        <v>344</v>
      </c>
      <c r="BE166">
        <v>1</v>
      </c>
      <c r="BF166">
        <v>1</v>
      </c>
      <c r="BG166">
        <f>IF(Wycena!$C$16=78,Mapping!BE166,BF166)</f>
        <v>1</v>
      </c>
    </row>
    <row r="167" spans="1:59" x14ac:dyDescent="0.35">
      <c r="A167" t="s">
        <v>256</v>
      </c>
      <c r="B167">
        <v>20</v>
      </c>
      <c r="C167">
        <v>20</v>
      </c>
      <c r="D167" t="s">
        <v>263</v>
      </c>
      <c r="E167" t="s">
        <v>263</v>
      </c>
      <c r="F167">
        <v>20</v>
      </c>
      <c r="G167">
        <v>32</v>
      </c>
      <c r="H167">
        <v>36</v>
      </c>
      <c r="I167">
        <v>36</v>
      </c>
      <c r="Y167" t="s">
        <v>709</v>
      </c>
      <c r="Z167">
        <v>500</v>
      </c>
      <c r="AA167" t="str">
        <f t="shared" si="16"/>
        <v>RAL 7005</v>
      </c>
      <c r="AB167" t="str">
        <f>IF((VLOOKUP(Wycena!$C$7,Mapping!$Q$15:$R$20,2,0))="tak","",AA167)</f>
        <v>RAL 7005</v>
      </c>
      <c r="AC167" t="e" cm="1">
        <f t="array" ref="AC167">IF(ROWS($AB$3:AB167)&gt;(ROWS($AB$3:$AB$229)-COUNTBLANK($AB$3:$AB$229)),"",INDEX($AB$3:$AB$229,SMALL(IF($AB$3:$AB$229&lt;&gt;"",ROW($AB$3:$AB$229)-2),ROWS($AB$3:AB167))))</f>
        <v>#N/A</v>
      </c>
      <c r="AX167">
        <v>237</v>
      </c>
      <c r="AY167">
        <v>2</v>
      </c>
      <c r="AZ167">
        <v>2</v>
      </c>
      <c r="BA167">
        <f>IF(Wycena!$C$16=78,Mapping!AY167,AZ167)</f>
        <v>2</v>
      </c>
      <c r="BD167">
        <v>345</v>
      </c>
      <c r="BE167">
        <v>1</v>
      </c>
      <c r="BF167">
        <v>1</v>
      </c>
      <c r="BG167">
        <f>IF(Wycena!$C$16=78,Mapping!BE167,BF167)</f>
        <v>1</v>
      </c>
    </row>
    <row r="168" spans="1:59" x14ac:dyDescent="0.35">
      <c r="A168" t="s">
        <v>257</v>
      </c>
      <c r="B168">
        <v>20</v>
      </c>
      <c r="C168">
        <v>20</v>
      </c>
      <c r="D168" t="s">
        <v>263</v>
      </c>
      <c r="E168" t="s">
        <v>263</v>
      </c>
      <c r="F168">
        <v>20</v>
      </c>
      <c r="G168">
        <v>32</v>
      </c>
      <c r="H168">
        <v>36</v>
      </c>
      <c r="I168">
        <v>36</v>
      </c>
      <c r="Y168" t="s">
        <v>710</v>
      </c>
      <c r="Z168">
        <v>500</v>
      </c>
      <c r="AA168" t="str">
        <f t="shared" si="16"/>
        <v>RAL 7006</v>
      </c>
      <c r="AB168" t="str">
        <f>IF((VLOOKUP(Wycena!$C$7,Mapping!$Q$15:$R$20,2,0))="tak","",AA168)</f>
        <v>RAL 7006</v>
      </c>
      <c r="AC168" t="e" cm="1">
        <f t="array" ref="AC168">IF(ROWS($AB$3:AB168)&gt;(ROWS($AB$3:$AB$229)-COUNTBLANK($AB$3:$AB$229)),"",INDEX($AB$3:$AB$229,SMALL(IF($AB$3:$AB$229&lt;&gt;"",ROW($AB$3:$AB$229)-2),ROWS($AB$3:AB168))))</f>
        <v>#N/A</v>
      </c>
      <c r="AX168">
        <v>238</v>
      </c>
      <c r="AY168">
        <v>2</v>
      </c>
      <c r="AZ168">
        <v>2</v>
      </c>
      <c r="BA168">
        <f>IF(Wycena!$C$16=78,Mapping!AY168,AZ168)</f>
        <v>2</v>
      </c>
      <c r="BD168">
        <v>346</v>
      </c>
      <c r="BE168">
        <v>1</v>
      </c>
      <c r="BF168">
        <v>1</v>
      </c>
      <c r="BG168">
        <f>IF(Wycena!$C$16=78,Mapping!BE168,BF168)</f>
        <v>1</v>
      </c>
    </row>
    <row r="169" spans="1:59" x14ac:dyDescent="0.35">
      <c r="Y169" t="s">
        <v>711</v>
      </c>
      <c r="Z169">
        <v>500</v>
      </c>
      <c r="AA169" t="str">
        <f t="shared" si="16"/>
        <v>RAL 7008</v>
      </c>
      <c r="AB169" t="str">
        <f>IF((VLOOKUP(Wycena!$C$7,Mapping!$Q$15:$R$20,2,0))="tak","",AA169)</f>
        <v>RAL 7008</v>
      </c>
      <c r="AC169" t="e" cm="1">
        <f t="array" ref="AC169">IF(ROWS($AB$3:AB169)&gt;(ROWS($AB$3:$AB$229)-COUNTBLANK($AB$3:$AB$229)),"",INDEX($AB$3:$AB$229,SMALL(IF($AB$3:$AB$229&lt;&gt;"",ROW($AB$3:$AB$229)-2),ROWS($AB$3:AB169))))</f>
        <v>#N/A</v>
      </c>
      <c r="AX169">
        <v>239</v>
      </c>
      <c r="AY169">
        <v>2</v>
      </c>
      <c r="AZ169">
        <v>2</v>
      </c>
      <c r="BA169">
        <f>IF(Wycena!$C$16=78,Mapping!AY169,AZ169)</f>
        <v>2</v>
      </c>
      <c r="BD169">
        <v>347</v>
      </c>
      <c r="BE169">
        <v>1</v>
      </c>
      <c r="BF169">
        <v>1</v>
      </c>
      <c r="BG169">
        <f>IF(Wycena!$C$16=78,Mapping!BE169,BF169)</f>
        <v>1</v>
      </c>
    </row>
    <row r="170" spans="1:59" x14ac:dyDescent="0.35">
      <c r="Y170" t="s">
        <v>712</v>
      </c>
      <c r="Z170">
        <v>500</v>
      </c>
      <c r="AA170" t="str">
        <f t="shared" si="16"/>
        <v>RAL 7009</v>
      </c>
      <c r="AB170" t="str">
        <f>IF((VLOOKUP(Wycena!$C$7,Mapping!$Q$15:$R$20,2,0))="tak","",AA170)</f>
        <v>RAL 7009</v>
      </c>
      <c r="AC170" t="e" cm="1">
        <f t="array" ref="AC170">IF(ROWS($AB$3:AB170)&gt;(ROWS($AB$3:$AB$229)-COUNTBLANK($AB$3:$AB$229)),"",INDEX($AB$3:$AB$229,SMALL(IF($AB$3:$AB$229&lt;&gt;"",ROW($AB$3:$AB$229)-2),ROWS($AB$3:AB170))))</f>
        <v>#N/A</v>
      </c>
      <c r="AX170">
        <v>240</v>
      </c>
      <c r="AY170">
        <v>2</v>
      </c>
      <c r="AZ170">
        <v>2</v>
      </c>
      <c r="BA170">
        <f>IF(Wycena!$C$16=78,Mapping!AY170,AZ170)</f>
        <v>2</v>
      </c>
      <c r="BD170">
        <v>348</v>
      </c>
      <c r="BE170">
        <v>1</v>
      </c>
      <c r="BF170">
        <v>1</v>
      </c>
      <c r="BG170">
        <f>IF(Wycena!$C$16=78,Mapping!BE170,BF170)</f>
        <v>1</v>
      </c>
    </row>
    <row r="171" spans="1:59" x14ac:dyDescent="0.35">
      <c r="Y171" t="s">
        <v>713</v>
      </c>
      <c r="Z171">
        <v>500</v>
      </c>
      <c r="AA171" t="str">
        <f t="shared" si="16"/>
        <v>RAL 7010</v>
      </c>
      <c r="AB171" t="str">
        <f>IF((VLOOKUP(Wycena!$C$7,Mapping!$Q$15:$R$20,2,0))="tak","",AA171)</f>
        <v>RAL 7010</v>
      </c>
      <c r="AC171" t="e" cm="1">
        <f t="array" ref="AC171">IF(ROWS($AB$3:AB171)&gt;(ROWS($AB$3:$AB$229)-COUNTBLANK($AB$3:$AB$229)),"",INDEX($AB$3:$AB$229,SMALL(IF($AB$3:$AB$229&lt;&gt;"",ROW($AB$3:$AB$229)-2),ROWS($AB$3:AB171))))</f>
        <v>#N/A</v>
      </c>
      <c r="AX171">
        <v>241</v>
      </c>
      <c r="AY171">
        <v>2</v>
      </c>
      <c r="AZ171">
        <v>2</v>
      </c>
      <c r="BA171">
        <f>IF(Wycena!$C$16=78,Mapping!AY171,AZ171)</f>
        <v>2</v>
      </c>
      <c r="BD171">
        <v>349</v>
      </c>
      <c r="BE171">
        <v>1</v>
      </c>
      <c r="BF171">
        <v>1</v>
      </c>
      <c r="BG171">
        <f>IF(Wycena!$C$16=78,Mapping!BE171,BF171)</f>
        <v>1</v>
      </c>
    </row>
    <row r="172" spans="1:59" x14ac:dyDescent="0.35">
      <c r="Y172" t="s">
        <v>714</v>
      </c>
      <c r="Z172">
        <v>500</v>
      </c>
      <c r="AA172" t="str">
        <f t="shared" si="16"/>
        <v>RAL 7011</v>
      </c>
      <c r="AB172" t="str">
        <f>IF((VLOOKUP(Wycena!$C$7,Mapping!$Q$15:$R$20,2,0))="tak","",AA172)</f>
        <v>RAL 7011</v>
      </c>
      <c r="AC172" t="e" cm="1">
        <f t="array" ref="AC172">IF(ROWS($AB$3:AB172)&gt;(ROWS($AB$3:$AB$229)-COUNTBLANK($AB$3:$AB$229)),"",INDEX($AB$3:$AB$229,SMALL(IF($AB$3:$AB$229&lt;&gt;"",ROW($AB$3:$AB$229)-2),ROWS($AB$3:AB172))))</f>
        <v>#N/A</v>
      </c>
      <c r="AX172">
        <v>242</v>
      </c>
      <c r="AY172">
        <v>2</v>
      </c>
      <c r="AZ172">
        <v>2</v>
      </c>
      <c r="BA172">
        <f>IF(Wycena!$C$16=78,Mapping!AY172,AZ172)</f>
        <v>2</v>
      </c>
      <c r="BD172">
        <v>350</v>
      </c>
      <c r="BE172">
        <v>1</v>
      </c>
      <c r="BF172">
        <v>1</v>
      </c>
      <c r="BG172">
        <f>IF(Wycena!$C$16=78,Mapping!BE172,BF172)</f>
        <v>1</v>
      </c>
    </row>
    <row r="173" spans="1:59" x14ac:dyDescent="0.35">
      <c r="Y173" t="s">
        <v>715</v>
      </c>
      <c r="Z173">
        <v>500</v>
      </c>
      <c r="AA173" t="str">
        <f t="shared" si="16"/>
        <v>RAL 7012</v>
      </c>
      <c r="AB173" t="str">
        <f>IF((VLOOKUP(Wycena!$C$7,Mapping!$Q$15:$R$20,2,0))="tak","",AA173)</f>
        <v>RAL 7012</v>
      </c>
      <c r="AC173" t="e" cm="1">
        <f t="array" ref="AC173">IF(ROWS($AB$3:AB173)&gt;(ROWS($AB$3:$AB$229)-COUNTBLANK($AB$3:$AB$229)),"",INDEX($AB$3:$AB$229,SMALL(IF($AB$3:$AB$229&lt;&gt;"",ROW($AB$3:$AB$229)-2),ROWS($AB$3:AB173))))</f>
        <v>#N/A</v>
      </c>
      <c r="AX173">
        <v>243</v>
      </c>
      <c r="AY173">
        <v>2</v>
      </c>
      <c r="AZ173">
        <v>2</v>
      </c>
      <c r="BA173">
        <f>IF(Wycena!$C$16=78,Mapping!AY173,AZ173)</f>
        <v>2</v>
      </c>
    </row>
    <row r="174" spans="1:59" x14ac:dyDescent="0.35">
      <c r="Y174" t="s">
        <v>716</v>
      </c>
      <c r="Z174">
        <v>500</v>
      </c>
      <c r="AA174" t="str">
        <f t="shared" si="16"/>
        <v>RAL 7013</v>
      </c>
      <c r="AB174" t="str">
        <f>IF((VLOOKUP(Wycena!$C$7,Mapping!$Q$15:$R$20,2,0))="tak","",AA174)</f>
        <v>RAL 7013</v>
      </c>
      <c r="AC174" t="e" cm="1">
        <f t="array" ref="AC174">IF(ROWS($AB$3:AB174)&gt;(ROWS($AB$3:$AB$229)-COUNTBLANK($AB$3:$AB$229)),"",INDEX($AB$3:$AB$229,SMALL(IF($AB$3:$AB$229&lt;&gt;"",ROW($AB$3:$AB$229)-2),ROWS($AB$3:AB174))))</f>
        <v>#N/A</v>
      </c>
      <c r="AX174">
        <v>244</v>
      </c>
      <c r="AY174">
        <v>2</v>
      </c>
      <c r="AZ174">
        <v>2</v>
      </c>
      <c r="BA174">
        <f>IF(Wycena!$C$16=78,Mapping!AY174,AZ174)</f>
        <v>2</v>
      </c>
    </row>
    <row r="175" spans="1:59" x14ac:dyDescent="0.35">
      <c r="Y175" t="s">
        <v>717</v>
      </c>
      <c r="Z175">
        <v>500</v>
      </c>
      <c r="AA175" t="str">
        <f t="shared" si="16"/>
        <v>RAL 7015</v>
      </c>
      <c r="AB175" t="str">
        <f>IF((VLOOKUP(Wycena!$C$7,Mapping!$Q$15:$R$20,2,0))="tak","",AA175)</f>
        <v>RAL 7015</v>
      </c>
      <c r="AC175" t="e" cm="1">
        <f t="array" ref="AC175">IF(ROWS($AB$3:AB175)&gt;(ROWS($AB$3:$AB$229)-COUNTBLANK($AB$3:$AB$229)),"",INDEX($AB$3:$AB$229,SMALL(IF($AB$3:$AB$229&lt;&gt;"",ROW($AB$3:$AB$229)-2),ROWS($AB$3:AB175))))</f>
        <v>#N/A</v>
      </c>
      <c r="AX175">
        <v>245</v>
      </c>
      <c r="AY175">
        <v>2</v>
      </c>
      <c r="AZ175">
        <v>2</v>
      </c>
      <c r="BA175">
        <f>IF(Wycena!$C$16=78,Mapping!AY175,AZ175)</f>
        <v>2</v>
      </c>
    </row>
    <row r="176" spans="1:59" x14ac:dyDescent="0.35">
      <c r="Y176" t="s">
        <v>718</v>
      </c>
      <c r="Z176">
        <v>500</v>
      </c>
      <c r="AA176" t="str">
        <f t="shared" si="16"/>
        <v>RAL 7021</v>
      </c>
      <c r="AB176" t="str">
        <f>IF((VLOOKUP(Wycena!$C$7,Mapping!$Q$15:$R$20,2,0))="tak","",AA176)</f>
        <v>RAL 7021</v>
      </c>
      <c r="AC176" t="e" cm="1">
        <f t="array" ref="AC176">IF(ROWS($AB$3:AB176)&gt;(ROWS($AB$3:$AB$229)-COUNTBLANK($AB$3:$AB$229)),"",INDEX($AB$3:$AB$229,SMALL(IF($AB$3:$AB$229&lt;&gt;"",ROW($AB$3:$AB$229)-2),ROWS($AB$3:AB176))))</f>
        <v>#N/A</v>
      </c>
      <c r="AX176">
        <v>246</v>
      </c>
      <c r="AY176">
        <v>2</v>
      </c>
      <c r="AZ176">
        <v>2</v>
      </c>
      <c r="BA176">
        <f>IF(Wycena!$C$16=78,Mapping!AY176,AZ176)</f>
        <v>2</v>
      </c>
    </row>
    <row r="177" spans="25:53" x14ac:dyDescent="0.35">
      <c r="Y177" t="s">
        <v>719</v>
      </c>
      <c r="Z177">
        <v>500</v>
      </c>
      <c r="AA177" t="str">
        <f t="shared" si="16"/>
        <v>RAL 7022</v>
      </c>
      <c r="AB177" t="str">
        <f>IF((VLOOKUP(Wycena!$C$7,Mapping!$Q$15:$R$20,2,0))="tak","",AA177)</f>
        <v>RAL 7022</v>
      </c>
      <c r="AC177" t="e" cm="1">
        <f t="array" ref="AC177">IF(ROWS($AB$3:AB177)&gt;(ROWS($AB$3:$AB$229)-COUNTBLANK($AB$3:$AB$229)),"",INDEX($AB$3:$AB$229,SMALL(IF($AB$3:$AB$229&lt;&gt;"",ROW($AB$3:$AB$229)-2),ROWS($AB$3:AB177))))</f>
        <v>#N/A</v>
      </c>
      <c r="AX177">
        <v>247</v>
      </c>
      <c r="AY177">
        <v>2</v>
      </c>
      <c r="AZ177">
        <v>2</v>
      </c>
      <c r="BA177">
        <f>IF(Wycena!$C$16=78,Mapping!AY177,AZ177)</f>
        <v>2</v>
      </c>
    </row>
    <row r="178" spans="25:53" x14ac:dyDescent="0.35">
      <c r="Y178" t="s">
        <v>720</v>
      </c>
      <c r="Z178">
        <v>500</v>
      </c>
      <c r="AA178" t="str">
        <f t="shared" si="16"/>
        <v>RAL 7023</v>
      </c>
      <c r="AB178" t="str">
        <f>IF((VLOOKUP(Wycena!$C$7,Mapping!$Q$15:$R$20,2,0))="tak","",AA178)</f>
        <v>RAL 7023</v>
      </c>
      <c r="AC178" t="e" cm="1">
        <f t="array" ref="AC178">IF(ROWS($AB$3:AB178)&gt;(ROWS($AB$3:$AB$229)-COUNTBLANK($AB$3:$AB$229)),"",INDEX($AB$3:$AB$229,SMALL(IF($AB$3:$AB$229&lt;&gt;"",ROW($AB$3:$AB$229)-2),ROWS($AB$3:AB178))))</f>
        <v>#N/A</v>
      </c>
      <c r="AX178">
        <v>248</v>
      </c>
      <c r="AY178">
        <v>2</v>
      </c>
      <c r="AZ178">
        <v>2</v>
      </c>
      <c r="BA178">
        <f>IF(Wycena!$C$16=78,Mapping!AY178,AZ178)</f>
        <v>2</v>
      </c>
    </row>
    <row r="179" spans="25:53" x14ac:dyDescent="0.35">
      <c r="Y179" t="s">
        <v>721</v>
      </c>
      <c r="Z179">
        <v>500</v>
      </c>
      <c r="AA179" t="str">
        <f t="shared" si="16"/>
        <v>RAL 7024</v>
      </c>
      <c r="AB179" t="str">
        <f>IF((VLOOKUP(Wycena!$C$7,Mapping!$Q$15:$R$20,2,0))="tak","",AA179)</f>
        <v>RAL 7024</v>
      </c>
      <c r="AC179" t="e" cm="1">
        <f t="array" ref="AC179">IF(ROWS($AB$3:AB179)&gt;(ROWS($AB$3:$AB$229)-COUNTBLANK($AB$3:$AB$229)),"",INDEX($AB$3:$AB$229,SMALL(IF($AB$3:$AB$229&lt;&gt;"",ROW($AB$3:$AB$229)-2),ROWS($AB$3:AB179))))</f>
        <v>#N/A</v>
      </c>
      <c r="AX179">
        <v>249</v>
      </c>
      <c r="AY179">
        <v>2</v>
      </c>
      <c r="AZ179">
        <v>2</v>
      </c>
      <c r="BA179">
        <f>IF(Wycena!$C$16=78,Mapping!AY179,AZ179)</f>
        <v>2</v>
      </c>
    </row>
    <row r="180" spans="25:53" x14ac:dyDescent="0.35">
      <c r="Y180" t="s">
        <v>722</v>
      </c>
      <c r="Z180">
        <v>500</v>
      </c>
      <c r="AA180" t="str">
        <f t="shared" si="16"/>
        <v>RAL 7026</v>
      </c>
      <c r="AB180" t="str">
        <f>IF((VLOOKUP(Wycena!$C$7,Mapping!$Q$15:$R$20,2,0))="tak","",AA180)</f>
        <v>RAL 7026</v>
      </c>
      <c r="AC180" t="e" cm="1">
        <f t="array" ref="AC180">IF(ROWS($AB$3:AB180)&gt;(ROWS($AB$3:$AB$229)-COUNTBLANK($AB$3:$AB$229)),"",INDEX($AB$3:$AB$229,SMALL(IF($AB$3:$AB$229&lt;&gt;"",ROW($AB$3:$AB$229)-2),ROWS($AB$3:AB180))))</f>
        <v>#N/A</v>
      </c>
      <c r="AX180">
        <v>250</v>
      </c>
      <c r="AY180">
        <v>2</v>
      </c>
      <c r="AZ180">
        <v>2</v>
      </c>
      <c r="BA180">
        <f>IF(Wycena!$C$16=78,Mapping!AY180,AZ180)</f>
        <v>2</v>
      </c>
    </row>
    <row r="181" spans="25:53" x14ac:dyDescent="0.35">
      <c r="Y181" t="s">
        <v>723</v>
      </c>
      <c r="Z181">
        <v>500</v>
      </c>
      <c r="AA181" t="str">
        <f t="shared" si="16"/>
        <v>RAL 7030</v>
      </c>
      <c r="AB181" t="str">
        <f>IF((VLOOKUP(Wycena!$C$7,Mapping!$Q$15:$R$20,2,0))="tak","",AA181)</f>
        <v>RAL 7030</v>
      </c>
      <c r="AC181" t="e" cm="1">
        <f t="array" ref="AC181">IF(ROWS($AB$3:AB181)&gt;(ROWS($AB$3:$AB$229)-COUNTBLANK($AB$3:$AB$229)),"",INDEX($AB$3:$AB$229,SMALL(IF($AB$3:$AB$229&lt;&gt;"",ROW($AB$3:$AB$229)-2),ROWS($AB$3:AB181))))</f>
        <v>#N/A</v>
      </c>
      <c r="AX181">
        <v>251</v>
      </c>
      <c r="AY181">
        <v>2</v>
      </c>
      <c r="AZ181">
        <v>2</v>
      </c>
      <c r="BA181">
        <f>IF(Wycena!$C$16=78,Mapping!AY181,AZ181)</f>
        <v>2</v>
      </c>
    </row>
    <row r="182" spans="25:53" x14ac:dyDescent="0.35">
      <c r="Y182" t="s">
        <v>724</v>
      </c>
      <c r="Z182">
        <v>500</v>
      </c>
      <c r="AA182" t="str">
        <f t="shared" si="16"/>
        <v>RAL 7031</v>
      </c>
      <c r="AB182" t="str">
        <f>IF((VLOOKUP(Wycena!$C$7,Mapping!$Q$15:$R$20,2,0))="tak","",AA182)</f>
        <v>RAL 7031</v>
      </c>
      <c r="AC182" t="e" cm="1">
        <f t="array" ref="AC182">IF(ROWS($AB$3:AB182)&gt;(ROWS($AB$3:$AB$229)-COUNTBLANK($AB$3:$AB$229)),"",INDEX($AB$3:$AB$229,SMALL(IF($AB$3:$AB$229&lt;&gt;"",ROW($AB$3:$AB$229)-2),ROWS($AB$3:AB182))))</f>
        <v>#N/A</v>
      </c>
      <c r="AX182">
        <v>252</v>
      </c>
      <c r="AY182">
        <v>2</v>
      </c>
      <c r="AZ182">
        <v>2</v>
      </c>
      <c r="BA182">
        <f>IF(Wycena!$C$16=78,Mapping!AY182,AZ182)</f>
        <v>2</v>
      </c>
    </row>
    <row r="183" spans="25:53" x14ac:dyDescent="0.35">
      <c r="Y183" t="s">
        <v>725</v>
      </c>
      <c r="Z183">
        <v>500</v>
      </c>
      <c r="AA183" t="str">
        <f t="shared" si="16"/>
        <v>RAL 7032</v>
      </c>
      <c r="AB183" t="str">
        <f>IF((VLOOKUP(Wycena!$C$7,Mapping!$Q$15:$R$20,2,0))="tak","",AA183)</f>
        <v>RAL 7032</v>
      </c>
      <c r="AC183" t="e" cm="1">
        <f t="array" ref="AC183">IF(ROWS($AB$3:AB183)&gt;(ROWS($AB$3:$AB$229)-COUNTBLANK($AB$3:$AB$229)),"",INDEX($AB$3:$AB$229,SMALL(IF($AB$3:$AB$229&lt;&gt;"",ROW($AB$3:$AB$229)-2),ROWS($AB$3:AB183))))</f>
        <v>#N/A</v>
      </c>
      <c r="AX183">
        <v>253</v>
      </c>
      <c r="AY183">
        <v>2</v>
      </c>
      <c r="AZ183">
        <v>2</v>
      </c>
      <c r="BA183">
        <f>IF(Wycena!$C$16=78,Mapping!AY183,AZ183)</f>
        <v>2</v>
      </c>
    </row>
    <row r="184" spans="25:53" x14ac:dyDescent="0.35">
      <c r="Y184" t="s">
        <v>726</v>
      </c>
      <c r="Z184">
        <v>500</v>
      </c>
      <c r="AA184" t="str">
        <f t="shared" si="16"/>
        <v>RAL 7033</v>
      </c>
      <c r="AB184" t="str">
        <f>IF((VLOOKUP(Wycena!$C$7,Mapping!$Q$15:$R$20,2,0))="tak","",AA184)</f>
        <v>RAL 7033</v>
      </c>
      <c r="AC184" t="e" cm="1">
        <f t="array" ref="AC184">IF(ROWS($AB$3:AB184)&gt;(ROWS($AB$3:$AB$229)-COUNTBLANK($AB$3:$AB$229)),"",INDEX($AB$3:$AB$229,SMALL(IF($AB$3:$AB$229&lt;&gt;"",ROW($AB$3:$AB$229)-2),ROWS($AB$3:AB184))))</f>
        <v>#N/A</v>
      </c>
      <c r="AX184">
        <v>254</v>
      </c>
      <c r="AY184">
        <v>2</v>
      </c>
      <c r="AZ184">
        <v>2</v>
      </c>
      <c r="BA184">
        <f>IF(Wycena!$C$16=78,Mapping!AY184,AZ184)</f>
        <v>2</v>
      </c>
    </row>
    <row r="185" spans="25:53" x14ac:dyDescent="0.35">
      <c r="Y185" t="s">
        <v>727</v>
      </c>
      <c r="Z185">
        <v>500</v>
      </c>
      <c r="AA185" t="str">
        <f t="shared" si="16"/>
        <v>RAL 7034</v>
      </c>
      <c r="AB185" t="str">
        <f>IF((VLOOKUP(Wycena!$C$7,Mapping!$Q$15:$R$20,2,0))="tak","",AA185)</f>
        <v>RAL 7034</v>
      </c>
      <c r="AC185" t="e" cm="1">
        <f t="array" ref="AC185">IF(ROWS($AB$3:AB185)&gt;(ROWS($AB$3:$AB$229)-COUNTBLANK($AB$3:$AB$229)),"",INDEX($AB$3:$AB$229,SMALL(IF($AB$3:$AB$229&lt;&gt;"",ROW($AB$3:$AB$229)-2),ROWS($AB$3:AB185))))</f>
        <v>#N/A</v>
      </c>
      <c r="AX185">
        <v>255</v>
      </c>
      <c r="AY185">
        <v>2</v>
      </c>
      <c r="AZ185">
        <v>2</v>
      </c>
      <c r="BA185">
        <f>IF(Wycena!$C$16=78,Mapping!AY185,AZ185)</f>
        <v>2</v>
      </c>
    </row>
    <row r="186" spans="25:53" x14ac:dyDescent="0.35">
      <c r="Y186" t="s">
        <v>728</v>
      </c>
      <c r="Z186">
        <v>500</v>
      </c>
      <c r="AA186" t="str">
        <f t="shared" si="16"/>
        <v>RAL 7035</v>
      </c>
      <c r="AB186" t="str">
        <f>IF((VLOOKUP(Wycena!$C$7,Mapping!$Q$15:$R$20,2,0))="tak","",AA186)</f>
        <v>RAL 7035</v>
      </c>
      <c r="AC186" t="e" cm="1">
        <f t="array" ref="AC186">IF(ROWS($AB$3:AB186)&gt;(ROWS($AB$3:$AB$229)-COUNTBLANK($AB$3:$AB$229)),"",INDEX($AB$3:$AB$229,SMALL(IF($AB$3:$AB$229&lt;&gt;"",ROW($AB$3:$AB$229)-2),ROWS($AB$3:AB186))))</f>
        <v>#N/A</v>
      </c>
      <c r="AX186">
        <v>256</v>
      </c>
      <c r="AY186">
        <v>2</v>
      </c>
      <c r="AZ186">
        <v>2</v>
      </c>
      <c r="BA186">
        <f>IF(Wycena!$C$16=78,Mapping!AY186,AZ186)</f>
        <v>2</v>
      </c>
    </row>
    <row r="187" spans="25:53" x14ac:dyDescent="0.35">
      <c r="Y187" t="s">
        <v>729</v>
      </c>
      <c r="Z187">
        <v>500</v>
      </c>
      <c r="AA187" t="str">
        <f t="shared" si="16"/>
        <v>RAL 7036</v>
      </c>
      <c r="AB187" t="str">
        <f>IF((VLOOKUP(Wycena!$C$7,Mapping!$Q$15:$R$20,2,0))="tak","",AA187)</f>
        <v>RAL 7036</v>
      </c>
      <c r="AC187" t="e" cm="1">
        <f t="array" ref="AC187">IF(ROWS($AB$3:AB187)&gt;(ROWS($AB$3:$AB$229)-COUNTBLANK($AB$3:$AB$229)),"",INDEX($AB$3:$AB$229,SMALL(IF($AB$3:$AB$229&lt;&gt;"",ROW($AB$3:$AB$229)-2),ROWS($AB$3:AB187))))</f>
        <v>#N/A</v>
      </c>
      <c r="AX187">
        <v>257</v>
      </c>
      <c r="AY187">
        <v>2</v>
      </c>
      <c r="AZ187">
        <v>2</v>
      </c>
      <c r="BA187">
        <f>IF(Wycena!$C$16=78,Mapping!AY187,AZ187)</f>
        <v>2</v>
      </c>
    </row>
    <row r="188" spans="25:53" x14ac:dyDescent="0.35">
      <c r="Y188" t="s">
        <v>730</v>
      </c>
      <c r="Z188">
        <v>500</v>
      </c>
      <c r="AA188" t="str">
        <f t="shared" si="16"/>
        <v>RAL 7037</v>
      </c>
      <c r="AB188" t="str">
        <f>IF((VLOOKUP(Wycena!$C$7,Mapping!$Q$15:$R$20,2,0))="tak","",AA188)</f>
        <v>RAL 7037</v>
      </c>
      <c r="AC188" t="e" cm="1">
        <f t="array" ref="AC188">IF(ROWS($AB$3:AB188)&gt;(ROWS($AB$3:$AB$229)-COUNTBLANK($AB$3:$AB$229)),"",INDEX($AB$3:$AB$229,SMALL(IF($AB$3:$AB$229&lt;&gt;"",ROW($AB$3:$AB$229)-2),ROWS($AB$3:AB188))))</f>
        <v>#N/A</v>
      </c>
      <c r="AX188">
        <v>258</v>
      </c>
      <c r="AY188">
        <v>2</v>
      </c>
      <c r="AZ188">
        <v>2</v>
      </c>
      <c r="BA188">
        <f>IF(Wycena!$C$16=78,Mapping!AY188,AZ188)</f>
        <v>2</v>
      </c>
    </row>
    <row r="189" spans="25:53" x14ac:dyDescent="0.35">
      <c r="Y189" t="s">
        <v>731</v>
      </c>
      <c r="Z189">
        <v>500</v>
      </c>
      <c r="AA189" t="str">
        <f t="shared" si="16"/>
        <v>RAL 7038</v>
      </c>
      <c r="AB189" t="str">
        <f>IF((VLOOKUP(Wycena!$C$7,Mapping!$Q$15:$R$20,2,0))="tak","",AA189)</f>
        <v>RAL 7038</v>
      </c>
      <c r="AC189" t="e" cm="1">
        <f t="array" ref="AC189">IF(ROWS($AB$3:AB189)&gt;(ROWS($AB$3:$AB$229)-COUNTBLANK($AB$3:$AB$229)),"",INDEX($AB$3:$AB$229,SMALL(IF($AB$3:$AB$229&lt;&gt;"",ROW($AB$3:$AB$229)-2),ROWS($AB$3:AB189))))</f>
        <v>#N/A</v>
      </c>
      <c r="AX189">
        <v>259</v>
      </c>
      <c r="AY189">
        <v>2</v>
      </c>
      <c r="AZ189">
        <v>2</v>
      </c>
      <c r="BA189">
        <f>IF(Wycena!$C$16=78,Mapping!AY189,AZ189)</f>
        <v>2</v>
      </c>
    </row>
    <row r="190" spans="25:53" x14ac:dyDescent="0.35">
      <c r="Y190" t="s">
        <v>732</v>
      </c>
      <c r="Z190">
        <v>500</v>
      </c>
      <c r="AA190" t="str">
        <f t="shared" si="16"/>
        <v>RAL 7039</v>
      </c>
      <c r="AB190" t="str">
        <f>IF((VLOOKUP(Wycena!$C$7,Mapping!$Q$15:$R$20,2,0))="tak","",AA190)</f>
        <v>RAL 7039</v>
      </c>
      <c r="AC190" t="e" cm="1">
        <f t="array" ref="AC190">IF(ROWS($AB$3:AB190)&gt;(ROWS($AB$3:$AB$229)-COUNTBLANK($AB$3:$AB$229)),"",INDEX($AB$3:$AB$229,SMALL(IF($AB$3:$AB$229&lt;&gt;"",ROW($AB$3:$AB$229)-2),ROWS($AB$3:AB190))))</f>
        <v>#N/A</v>
      </c>
      <c r="AX190">
        <v>260</v>
      </c>
      <c r="AY190">
        <v>2</v>
      </c>
      <c r="AZ190">
        <v>2</v>
      </c>
      <c r="BA190">
        <f>IF(Wycena!$C$16=78,Mapping!AY190,AZ190)</f>
        <v>2</v>
      </c>
    </row>
    <row r="191" spans="25:53" x14ac:dyDescent="0.35">
      <c r="Y191" t="s">
        <v>733</v>
      </c>
      <c r="Z191">
        <v>500</v>
      </c>
      <c r="AA191" t="str">
        <f t="shared" si="16"/>
        <v>RAL 7042</v>
      </c>
      <c r="AB191" t="str">
        <f>IF((VLOOKUP(Wycena!$C$7,Mapping!$Q$15:$R$20,2,0))="tak","",AA191)</f>
        <v>RAL 7042</v>
      </c>
      <c r="AC191" t="e" cm="1">
        <f t="array" ref="AC191">IF(ROWS($AB$3:AB191)&gt;(ROWS($AB$3:$AB$229)-COUNTBLANK($AB$3:$AB$229)),"",INDEX($AB$3:$AB$229,SMALL(IF($AB$3:$AB$229&lt;&gt;"",ROW($AB$3:$AB$229)-2),ROWS($AB$3:AB191))))</f>
        <v>#N/A</v>
      </c>
      <c r="AX191">
        <v>261</v>
      </c>
      <c r="AY191">
        <v>2</v>
      </c>
      <c r="AZ191">
        <v>2</v>
      </c>
      <c r="BA191">
        <f>IF(Wycena!$C$16=78,Mapping!AY191,AZ191)</f>
        <v>2</v>
      </c>
    </row>
    <row r="192" spans="25:53" x14ac:dyDescent="0.35">
      <c r="Y192" t="s">
        <v>734</v>
      </c>
      <c r="Z192">
        <v>500</v>
      </c>
      <c r="AA192" t="str">
        <f t="shared" si="16"/>
        <v>RAL 7043</v>
      </c>
      <c r="AB192" t="str">
        <f>IF((VLOOKUP(Wycena!$C$7,Mapping!$Q$15:$R$20,2,0))="tak","",AA192)</f>
        <v>RAL 7043</v>
      </c>
      <c r="AC192" t="e" cm="1">
        <f t="array" ref="AC192">IF(ROWS($AB$3:AB192)&gt;(ROWS($AB$3:$AB$229)-COUNTBLANK($AB$3:$AB$229)),"",INDEX($AB$3:$AB$229,SMALL(IF($AB$3:$AB$229&lt;&gt;"",ROW($AB$3:$AB$229)-2),ROWS($AB$3:AB192))))</f>
        <v>#N/A</v>
      </c>
      <c r="AX192">
        <v>262</v>
      </c>
      <c r="AY192">
        <v>2</v>
      </c>
      <c r="AZ192">
        <v>2</v>
      </c>
      <c r="BA192">
        <f>IF(Wycena!$C$16=78,Mapping!AY192,AZ192)</f>
        <v>2</v>
      </c>
    </row>
    <row r="193" spans="25:53" x14ac:dyDescent="0.35">
      <c r="Y193" t="s">
        <v>735</v>
      </c>
      <c r="Z193">
        <v>500</v>
      </c>
      <c r="AA193" t="str">
        <f t="shared" si="16"/>
        <v>RAL 7044</v>
      </c>
      <c r="AB193" t="str">
        <f>IF((VLOOKUP(Wycena!$C$7,Mapping!$Q$15:$R$20,2,0))="tak","",AA193)</f>
        <v>RAL 7044</v>
      </c>
      <c r="AC193" t="e" cm="1">
        <f t="array" ref="AC193">IF(ROWS($AB$3:AB193)&gt;(ROWS($AB$3:$AB$229)-COUNTBLANK($AB$3:$AB$229)),"",INDEX($AB$3:$AB$229,SMALL(IF($AB$3:$AB$229&lt;&gt;"",ROW($AB$3:$AB$229)-2),ROWS($AB$3:AB193))))</f>
        <v>#N/A</v>
      </c>
      <c r="AX193">
        <v>263</v>
      </c>
      <c r="AY193">
        <v>2</v>
      </c>
      <c r="AZ193">
        <v>2</v>
      </c>
      <c r="BA193">
        <f>IF(Wycena!$C$16=78,Mapping!AY193,AZ193)</f>
        <v>2</v>
      </c>
    </row>
    <row r="194" spans="25:53" x14ac:dyDescent="0.35">
      <c r="Y194" t="s">
        <v>736</v>
      </c>
      <c r="Z194">
        <v>500</v>
      </c>
      <c r="AA194" t="str">
        <f t="shared" si="16"/>
        <v>RAL 7045</v>
      </c>
      <c r="AB194" t="str">
        <f>IF((VLOOKUP(Wycena!$C$7,Mapping!$Q$15:$R$20,2,0))="tak","",AA194)</f>
        <v>RAL 7045</v>
      </c>
      <c r="AC194" t="e" cm="1">
        <f t="array" ref="AC194">IF(ROWS($AB$3:AB194)&gt;(ROWS($AB$3:$AB$229)-COUNTBLANK($AB$3:$AB$229)),"",INDEX($AB$3:$AB$229,SMALL(IF($AB$3:$AB$229&lt;&gt;"",ROW($AB$3:$AB$229)-2),ROWS($AB$3:AB194))))</f>
        <v>#N/A</v>
      </c>
      <c r="AX194">
        <v>264</v>
      </c>
      <c r="AY194">
        <v>2</v>
      </c>
      <c r="AZ194">
        <v>2</v>
      </c>
      <c r="BA194">
        <f>IF(Wycena!$C$16=78,Mapping!AY194,AZ194)</f>
        <v>2</v>
      </c>
    </row>
    <row r="195" spans="25:53" x14ac:dyDescent="0.35">
      <c r="Y195" t="s">
        <v>737</v>
      </c>
      <c r="Z195">
        <v>500</v>
      </c>
      <c r="AA195" t="str">
        <f t="shared" si="16"/>
        <v>RAL 7046</v>
      </c>
      <c r="AB195" t="str">
        <f>IF((VLOOKUP(Wycena!$C$7,Mapping!$Q$15:$R$20,2,0))="tak","",AA195)</f>
        <v>RAL 7046</v>
      </c>
      <c r="AC195" t="e" cm="1">
        <f t="array" ref="AC195">IF(ROWS($AB$3:AB195)&gt;(ROWS($AB$3:$AB$229)-COUNTBLANK($AB$3:$AB$229)),"",INDEX($AB$3:$AB$229,SMALL(IF($AB$3:$AB$229&lt;&gt;"",ROW($AB$3:$AB$229)-2),ROWS($AB$3:AB195))))</f>
        <v>#N/A</v>
      </c>
      <c r="AX195">
        <v>265</v>
      </c>
      <c r="AY195">
        <v>2</v>
      </c>
      <c r="AZ195">
        <v>2</v>
      </c>
      <c r="BA195">
        <f>IF(Wycena!$C$16=78,Mapping!AY195,AZ195)</f>
        <v>2</v>
      </c>
    </row>
    <row r="196" spans="25:53" x14ac:dyDescent="0.35">
      <c r="Y196" t="s">
        <v>738</v>
      </c>
      <c r="Z196">
        <v>500</v>
      </c>
      <c r="AA196" t="str">
        <f t="shared" si="16"/>
        <v>RAL 7048</v>
      </c>
      <c r="AB196" t="str">
        <f>IF((VLOOKUP(Wycena!$C$7,Mapping!$Q$15:$R$20,2,0))="tak","",AA196)</f>
        <v>RAL 7048</v>
      </c>
      <c r="AC196" t="e" cm="1">
        <f t="array" ref="AC196">IF(ROWS($AB$3:AB196)&gt;(ROWS($AB$3:$AB$229)-COUNTBLANK($AB$3:$AB$229)),"",INDEX($AB$3:$AB$229,SMALL(IF($AB$3:$AB$229&lt;&gt;"",ROW($AB$3:$AB$229)-2),ROWS($AB$3:AB196))))</f>
        <v>#N/A</v>
      </c>
      <c r="AX196">
        <v>266</v>
      </c>
      <c r="AY196">
        <v>2</v>
      </c>
      <c r="AZ196">
        <v>2</v>
      </c>
      <c r="BA196">
        <f>IF(Wycena!$C$16=78,Mapping!AY196,AZ196)</f>
        <v>2</v>
      </c>
    </row>
    <row r="197" spans="25:53" x14ac:dyDescent="0.35">
      <c r="Y197" t="s">
        <v>739</v>
      </c>
      <c r="Z197">
        <v>500</v>
      </c>
      <c r="AA197" t="str">
        <f t="shared" ref="AA197:AA229" si="17">Y197</f>
        <v>RAL 8000</v>
      </c>
      <c r="AB197" t="str">
        <f>IF((VLOOKUP(Wycena!$C$7,Mapping!$Q$15:$R$20,2,0))="tak","",AA197)</f>
        <v>RAL 8000</v>
      </c>
      <c r="AC197" t="e" cm="1">
        <f t="array" ref="AC197">IF(ROWS($AB$3:AB197)&gt;(ROWS($AB$3:$AB$229)-COUNTBLANK($AB$3:$AB$229)),"",INDEX($AB$3:$AB$229,SMALL(IF($AB$3:$AB$229&lt;&gt;"",ROW($AB$3:$AB$229)-2),ROWS($AB$3:AB197))))</f>
        <v>#N/A</v>
      </c>
      <c r="AX197">
        <v>267</v>
      </c>
      <c r="AY197">
        <v>2</v>
      </c>
      <c r="AZ197">
        <v>2</v>
      </c>
      <c r="BA197">
        <f>IF(Wycena!$C$16=78,Mapping!AY197,AZ197)</f>
        <v>2</v>
      </c>
    </row>
    <row r="198" spans="25:53" x14ac:dyDescent="0.35">
      <c r="Y198" t="s">
        <v>740</v>
      </c>
      <c r="Z198">
        <v>500</v>
      </c>
      <c r="AA198" t="str">
        <f t="shared" si="17"/>
        <v>RAL 8001</v>
      </c>
      <c r="AB198" t="str">
        <f>IF((VLOOKUP(Wycena!$C$7,Mapping!$Q$15:$R$20,2,0))="tak","",AA198)</f>
        <v>RAL 8001</v>
      </c>
      <c r="AC198" t="e" cm="1">
        <f t="array" ref="AC198">IF(ROWS($AB$3:AB198)&gt;(ROWS($AB$3:$AB$229)-COUNTBLANK($AB$3:$AB$229)),"",INDEX($AB$3:$AB$229,SMALL(IF($AB$3:$AB$229&lt;&gt;"",ROW($AB$3:$AB$229)-2),ROWS($AB$3:AB198))))</f>
        <v>#N/A</v>
      </c>
      <c r="AX198">
        <v>268</v>
      </c>
      <c r="AY198">
        <v>2</v>
      </c>
      <c r="AZ198">
        <v>2</v>
      </c>
      <c r="BA198">
        <f>IF(Wycena!$C$16=78,Mapping!AY198,AZ198)</f>
        <v>2</v>
      </c>
    </row>
    <row r="199" spans="25:53" x14ac:dyDescent="0.35">
      <c r="Y199" t="s">
        <v>741</v>
      </c>
      <c r="Z199">
        <v>500</v>
      </c>
      <c r="AA199" t="str">
        <f t="shared" si="17"/>
        <v>RAL 8002</v>
      </c>
      <c r="AB199" t="str">
        <f>IF((VLOOKUP(Wycena!$C$7,Mapping!$Q$15:$R$20,2,0))="tak","",AA199)</f>
        <v>RAL 8002</v>
      </c>
      <c r="AC199" t="e" cm="1">
        <f t="array" ref="AC199">IF(ROWS($AB$3:AB199)&gt;(ROWS($AB$3:$AB$229)-COUNTBLANK($AB$3:$AB$229)),"",INDEX($AB$3:$AB$229,SMALL(IF($AB$3:$AB$229&lt;&gt;"",ROW($AB$3:$AB$229)-2),ROWS($AB$3:AB199))))</f>
        <v>#N/A</v>
      </c>
      <c r="AX199">
        <v>269</v>
      </c>
      <c r="AY199">
        <v>2</v>
      </c>
      <c r="AZ199">
        <v>2</v>
      </c>
      <c r="BA199">
        <f>IF(Wycena!$C$16=78,Mapping!AY199,AZ199)</f>
        <v>2</v>
      </c>
    </row>
    <row r="200" spans="25:53" x14ac:dyDescent="0.35">
      <c r="Y200" t="s">
        <v>742</v>
      </c>
      <c r="Z200">
        <v>500</v>
      </c>
      <c r="AA200" t="str">
        <f t="shared" si="17"/>
        <v>RAL 8003</v>
      </c>
      <c r="AB200" t="str">
        <f>IF((VLOOKUP(Wycena!$C$7,Mapping!$Q$15:$R$20,2,0))="tak","",AA200)</f>
        <v>RAL 8003</v>
      </c>
      <c r="AC200" t="e" cm="1">
        <f t="array" ref="AC200">IF(ROWS($AB$3:AB200)&gt;(ROWS($AB$3:$AB$229)-COUNTBLANK($AB$3:$AB$229)),"",INDEX($AB$3:$AB$229,SMALL(IF($AB$3:$AB$229&lt;&gt;"",ROW($AB$3:$AB$229)-2),ROWS($AB$3:AB200))))</f>
        <v>#N/A</v>
      </c>
      <c r="AX200">
        <v>270</v>
      </c>
      <c r="AY200">
        <v>2</v>
      </c>
      <c r="AZ200">
        <v>2</v>
      </c>
      <c r="BA200">
        <f>IF(Wycena!$C$16=78,Mapping!AY200,AZ200)</f>
        <v>2</v>
      </c>
    </row>
    <row r="201" spans="25:53" x14ac:dyDescent="0.35">
      <c r="Y201" t="s">
        <v>743</v>
      </c>
      <c r="Z201">
        <v>500</v>
      </c>
      <c r="AA201" t="str">
        <f t="shared" si="17"/>
        <v>RAL 8004</v>
      </c>
      <c r="AB201" t="str">
        <f>IF((VLOOKUP(Wycena!$C$7,Mapping!$Q$15:$R$20,2,0))="tak","",AA201)</f>
        <v>RAL 8004</v>
      </c>
      <c r="AC201" t="e" cm="1">
        <f t="array" ref="AC201">IF(ROWS($AB$3:AB201)&gt;(ROWS($AB$3:$AB$229)-COUNTBLANK($AB$3:$AB$229)),"",INDEX($AB$3:$AB$229,SMALL(IF($AB$3:$AB$229&lt;&gt;"",ROW($AB$3:$AB$229)-2),ROWS($AB$3:AB201))))</f>
        <v>#N/A</v>
      </c>
      <c r="AX201">
        <v>271</v>
      </c>
      <c r="AY201">
        <v>2</v>
      </c>
      <c r="AZ201">
        <v>2</v>
      </c>
      <c r="BA201">
        <f>IF(Wycena!$C$16=78,Mapping!AY201,AZ201)</f>
        <v>2</v>
      </c>
    </row>
    <row r="202" spans="25:53" x14ac:dyDescent="0.35">
      <c r="Y202" t="s">
        <v>744</v>
      </c>
      <c r="Z202">
        <v>500</v>
      </c>
      <c r="AA202" t="str">
        <f t="shared" si="17"/>
        <v>RAL 8007</v>
      </c>
      <c r="AB202" t="str">
        <f>IF((VLOOKUP(Wycena!$C$7,Mapping!$Q$15:$R$20,2,0))="tak","",AA202)</f>
        <v>RAL 8007</v>
      </c>
      <c r="AC202" t="e" cm="1">
        <f t="array" ref="AC202">IF(ROWS($AB$3:AB202)&gt;(ROWS($AB$3:$AB$229)-COUNTBLANK($AB$3:$AB$229)),"",INDEX($AB$3:$AB$229,SMALL(IF($AB$3:$AB$229&lt;&gt;"",ROW($AB$3:$AB$229)-2),ROWS($AB$3:AB202))))</f>
        <v>#N/A</v>
      </c>
      <c r="AX202">
        <v>272</v>
      </c>
      <c r="AY202">
        <v>2</v>
      </c>
      <c r="AZ202">
        <v>2</v>
      </c>
      <c r="BA202">
        <f>IF(Wycena!$C$16=78,Mapping!AY202,AZ202)</f>
        <v>2</v>
      </c>
    </row>
    <row r="203" spans="25:53" x14ac:dyDescent="0.35">
      <c r="Y203" t="s">
        <v>745</v>
      </c>
      <c r="Z203">
        <v>500</v>
      </c>
      <c r="AA203" t="str">
        <f t="shared" si="17"/>
        <v>RAL 8008</v>
      </c>
      <c r="AB203" t="str">
        <f>IF((VLOOKUP(Wycena!$C$7,Mapping!$Q$15:$R$20,2,0))="tak","",AA203)</f>
        <v>RAL 8008</v>
      </c>
      <c r="AC203" t="e" cm="1">
        <f t="array" ref="AC203">IF(ROWS($AB$3:AB203)&gt;(ROWS($AB$3:$AB$229)-COUNTBLANK($AB$3:$AB$229)),"",INDEX($AB$3:$AB$229,SMALL(IF($AB$3:$AB$229&lt;&gt;"",ROW($AB$3:$AB$229)-2),ROWS($AB$3:AB203))))</f>
        <v>#N/A</v>
      </c>
      <c r="AX203">
        <v>273</v>
      </c>
      <c r="AY203">
        <v>2</v>
      </c>
      <c r="AZ203">
        <v>2</v>
      </c>
      <c r="BA203">
        <f>IF(Wycena!$C$16=78,Mapping!AY203,AZ203)</f>
        <v>2</v>
      </c>
    </row>
    <row r="204" spans="25:53" x14ac:dyDescent="0.35">
      <c r="Y204" t="s">
        <v>746</v>
      </c>
      <c r="Z204">
        <v>500</v>
      </c>
      <c r="AA204" t="str">
        <f t="shared" si="17"/>
        <v>RAL 8011</v>
      </c>
      <c r="AB204" t="str">
        <f>IF((VLOOKUP(Wycena!$C$7,Mapping!$Q$15:$R$20,2,0))="tak","",AA204)</f>
        <v>RAL 8011</v>
      </c>
      <c r="AC204" t="e" cm="1">
        <f t="array" ref="AC204">IF(ROWS($AB$3:AB204)&gt;(ROWS($AB$3:$AB$229)-COUNTBLANK($AB$3:$AB$229)),"",INDEX($AB$3:$AB$229,SMALL(IF($AB$3:$AB$229&lt;&gt;"",ROW($AB$3:$AB$229)-2),ROWS($AB$3:AB204))))</f>
        <v>#N/A</v>
      </c>
      <c r="AX204">
        <v>274</v>
      </c>
      <c r="AY204">
        <v>2</v>
      </c>
      <c r="AZ204">
        <v>2</v>
      </c>
      <c r="BA204">
        <f>IF(Wycena!$C$16=78,Mapping!AY204,AZ204)</f>
        <v>2</v>
      </c>
    </row>
    <row r="205" spans="25:53" x14ac:dyDescent="0.35">
      <c r="Y205" t="s">
        <v>747</v>
      </c>
      <c r="Z205">
        <v>500</v>
      </c>
      <c r="AA205" t="str">
        <f t="shared" si="17"/>
        <v>RAL 8012</v>
      </c>
      <c r="AB205" t="str">
        <f>IF((VLOOKUP(Wycena!$C$7,Mapping!$Q$15:$R$20,2,0))="tak","",AA205)</f>
        <v>RAL 8012</v>
      </c>
      <c r="AC205" t="e" cm="1">
        <f t="array" ref="AC205">IF(ROWS($AB$3:AB205)&gt;(ROWS($AB$3:$AB$229)-COUNTBLANK($AB$3:$AB$229)),"",INDEX($AB$3:$AB$229,SMALL(IF($AB$3:$AB$229&lt;&gt;"",ROW($AB$3:$AB$229)-2),ROWS($AB$3:AB205))))</f>
        <v>#N/A</v>
      </c>
      <c r="AX205">
        <v>275</v>
      </c>
      <c r="AY205">
        <v>2</v>
      </c>
      <c r="AZ205">
        <v>2</v>
      </c>
      <c r="BA205">
        <f>IF(Wycena!$C$16=78,Mapping!AY205,AZ205)</f>
        <v>2</v>
      </c>
    </row>
    <row r="206" spans="25:53" x14ac:dyDescent="0.35">
      <c r="Y206" t="s">
        <v>748</v>
      </c>
      <c r="Z206">
        <v>500</v>
      </c>
      <c r="AA206" t="str">
        <f t="shared" si="17"/>
        <v>RAL 8014</v>
      </c>
      <c r="AB206" t="str">
        <f>IF((VLOOKUP(Wycena!$C$7,Mapping!$Q$15:$R$20,2,0))="tak","",AA206)</f>
        <v>RAL 8014</v>
      </c>
      <c r="AC206" t="e" cm="1">
        <f t="array" ref="AC206">IF(ROWS($AB$3:AB206)&gt;(ROWS($AB$3:$AB$229)-COUNTBLANK($AB$3:$AB$229)),"",INDEX($AB$3:$AB$229,SMALL(IF($AB$3:$AB$229&lt;&gt;"",ROW($AB$3:$AB$229)-2),ROWS($AB$3:AB206))))</f>
        <v>#N/A</v>
      </c>
      <c r="AX206">
        <v>276</v>
      </c>
      <c r="AY206">
        <v>2</v>
      </c>
      <c r="AZ206">
        <v>2</v>
      </c>
      <c r="BA206">
        <f>IF(Wycena!$C$16=78,Mapping!AY206,AZ206)</f>
        <v>2</v>
      </c>
    </row>
    <row r="207" spans="25:53" x14ac:dyDescent="0.35">
      <c r="Y207" t="s">
        <v>749</v>
      </c>
      <c r="Z207">
        <v>500</v>
      </c>
      <c r="AA207" t="str">
        <f t="shared" si="17"/>
        <v>RAL 8015</v>
      </c>
      <c r="AB207" t="str">
        <f>IF((VLOOKUP(Wycena!$C$7,Mapping!$Q$15:$R$20,2,0))="tak","",AA207)</f>
        <v>RAL 8015</v>
      </c>
      <c r="AC207" t="e" cm="1">
        <f t="array" ref="AC207">IF(ROWS($AB$3:AB207)&gt;(ROWS($AB$3:$AB$229)-COUNTBLANK($AB$3:$AB$229)),"",INDEX($AB$3:$AB$229,SMALL(IF($AB$3:$AB$229&lt;&gt;"",ROW($AB$3:$AB$229)-2),ROWS($AB$3:AB207))))</f>
        <v>#N/A</v>
      </c>
      <c r="AX207">
        <v>277</v>
      </c>
      <c r="AY207">
        <v>2</v>
      </c>
      <c r="AZ207">
        <v>2</v>
      </c>
      <c r="BA207">
        <f>IF(Wycena!$C$16=78,Mapping!AY207,AZ207)</f>
        <v>2</v>
      </c>
    </row>
    <row r="208" spans="25:53" x14ac:dyDescent="0.35">
      <c r="Y208" t="s">
        <v>750</v>
      </c>
      <c r="Z208">
        <v>500</v>
      </c>
      <c r="AA208" t="str">
        <f t="shared" si="17"/>
        <v>RAL 8016</v>
      </c>
      <c r="AB208" t="str">
        <f>IF((VLOOKUP(Wycena!$C$7,Mapping!$Q$15:$R$20,2,0))="tak","",AA208)</f>
        <v>RAL 8016</v>
      </c>
      <c r="AC208" t="e" cm="1">
        <f t="array" ref="AC208">IF(ROWS($AB$3:AB208)&gt;(ROWS($AB$3:$AB$229)-COUNTBLANK($AB$3:$AB$229)),"",INDEX($AB$3:$AB$229,SMALL(IF($AB$3:$AB$229&lt;&gt;"",ROW($AB$3:$AB$229)-2),ROWS($AB$3:AB208))))</f>
        <v>#N/A</v>
      </c>
      <c r="AX208">
        <v>278</v>
      </c>
      <c r="AY208">
        <v>2</v>
      </c>
      <c r="AZ208">
        <v>2</v>
      </c>
      <c r="BA208">
        <f>IF(Wycena!$C$16=78,Mapping!AY208,AZ208)</f>
        <v>2</v>
      </c>
    </row>
    <row r="209" spans="25:53" x14ac:dyDescent="0.35">
      <c r="Y209" t="s">
        <v>751</v>
      </c>
      <c r="Z209">
        <v>500</v>
      </c>
      <c r="AA209" t="str">
        <f t="shared" si="17"/>
        <v>RAL 8017</v>
      </c>
      <c r="AB209" t="str">
        <f>IF((VLOOKUP(Wycena!$C$7,Mapping!$Q$15:$R$20,2,0))="tak","",AA209)</f>
        <v>RAL 8017</v>
      </c>
      <c r="AC209" t="e" cm="1">
        <f t="array" ref="AC209">IF(ROWS($AB$3:AB209)&gt;(ROWS($AB$3:$AB$229)-COUNTBLANK($AB$3:$AB$229)),"",INDEX($AB$3:$AB$229,SMALL(IF($AB$3:$AB$229&lt;&gt;"",ROW($AB$3:$AB$229)-2),ROWS($AB$3:AB209))))</f>
        <v>#N/A</v>
      </c>
      <c r="AX209">
        <v>279</v>
      </c>
      <c r="AY209">
        <v>2</v>
      </c>
      <c r="AZ209">
        <v>2</v>
      </c>
      <c r="BA209">
        <f>IF(Wycena!$C$16=78,Mapping!AY209,AZ209)</f>
        <v>2</v>
      </c>
    </row>
    <row r="210" spans="25:53" x14ac:dyDescent="0.35">
      <c r="Y210" t="s">
        <v>752</v>
      </c>
      <c r="Z210">
        <v>500</v>
      </c>
      <c r="AA210" t="str">
        <f t="shared" si="17"/>
        <v>RAL 8019</v>
      </c>
      <c r="AB210" t="str">
        <f>IF((VLOOKUP(Wycena!$C$7,Mapping!$Q$15:$R$20,2,0))="tak","",AA210)</f>
        <v>RAL 8019</v>
      </c>
      <c r="AC210" t="e" cm="1">
        <f t="array" ref="AC210">IF(ROWS($AB$3:AB210)&gt;(ROWS($AB$3:$AB$229)-COUNTBLANK($AB$3:$AB$229)),"",INDEX($AB$3:$AB$229,SMALL(IF($AB$3:$AB$229&lt;&gt;"",ROW($AB$3:$AB$229)-2),ROWS($AB$3:AB210))))</f>
        <v>#N/A</v>
      </c>
      <c r="AX210">
        <v>280</v>
      </c>
      <c r="AY210">
        <v>2</v>
      </c>
      <c r="AZ210">
        <v>2</v>
      </c>
      <c r="BA210">
        <f>IF(Wycena!$C$16=78,Mapping!AY210,AZ210)</f>
        <v>2</v>
      </c>
    </row>
    <row r="211" spans="25:53" x14ac:dyDescent="0.35">
      <c r="Y211" t="s">
        <v>753</v>
      </c>
      <c r="Z211">
        <v>500</v>
      </c>
      <c r="AA211" t="str">
        <f t="shared" si="17"/>
        <v>RAL 8022</v>
      </c>
      <c r="AB211" t="str">
        <f>IF((VLOOKUP(Wycena!$C$7,Mapping!$Q$15:$R$20,2,0))="tak","",AA211)</f>
        <v>RAL 8022</v>
      </c>
      <c r="AC211" t="e" cm="1">
        <f t="array" ref="AC211">IF(ROWS($AB$3:AB211)&gt;(ROWS($AB$3:$AB$229)-COUNTBLANK($AB$3:$AB$229)),"",INDEX($AB$3:$AB$229,SMALL(IF($AB$3:$AB$229&lt;&gt;"",ROW($AB$3:$AB$229)-2),ROWS($AB$3:AB211))))</f>
        <v>#N/A</v>
      </c>
      <c r="AX211">
        <v>281</v>
      </c>
      <c r="AY211">
        <v>2</v>
      </c>
      <c r="AZ211">
        <v>2</v>
      </c>
      <c r="BA211">
        <f>IF(Wycena!$C$16=78,Mapping!AY211,AZ211)</f>
        <v>2</v>
      </c>
    </row>
    <row r="212" spans="25:53" x14ac:dyDescent="0.35">
      <c r="Y212" t="s">
        <v>754</v>
      </c>
      <c r="Z212">
        <v>500</v>
      </c>
      <c r="AA212" t="str">
        <f t="shared" si="17"/>
        <v>RAL 8023</v>
      </c>
      <c r="AB212" t="str">
        <f>IF((VLOOKUP(Wycena!$C$7,Mapping!$Q$15:$R$20,2,0))="tak","",AA212)</f>
        <v>RAL 8023</v>
      </c>
      <c r="AC212" t="e" cm="1">
        <f t="array" ref="AC212">IF(ROWS($AB$3:AB212)&gt;(ROWS($AB$3:$AB$229)-COUNTBLANK($AB$3:$AB$229)),"",INDEX($AB$3:$AB$229,SMALL(IF($AB$3:$AB$229&lt;&gt;"",ROW($AB$3:$AB$229)-2),ROWS($AB$3:AB212))))</f>
        <v>#N/A</v>
      </c>
      <c r="AX212">
        <v>282</v>
      </c>
      <c r="AY212">
        <v>2</v>
      </c>
      <c r="AZ212">
        <v>2</v>
      </c>
      <c r="BA212">
        <f>IF(Wycena!$C$16=78,Mapping!AY212,AZ212)</f>
        <v>2</v>
      </c>
    </row>
    <row r="213" spans="25:53" x14ac:dyDescent="0.35">
      <c r="Y213" t="s">
        <v>755</v>
      </c>
      <c r="Z213">
        <v>500</v>
      </c>
      <c r="AA213" t="str">
        <f t="shared" si="17"/>
        <v>RAL 8024</v>
      </c>
      <c r="AB213" t="str">
        <f>IF((VLOOKUP(Wycena!$C$7,Mapping!$Q$15:$R$20,2,0))="tak","",AA213)</f>
        <v>RAL 8024</v>
      </c>
      <c r="AC213" t="e" cm="1">
        <f t="array" ref="AC213">IF(ROWS($AB$3:AB213)&gt;(ROWS($AB$3:$AB$229)-COUNTBLANK($AB$3:$AB$229)),"",INDEX($AB$3:$AB$229,SMALL(IF($AB$3:$AB$229&lt;&gt;"",ROW($AB$3:$AB$229)-2),ROWS($AB$3:AB213))))</f>
        <v>#N/A</v>
      </c>
      <c r="AX213">
        <v>283</v>
      </c>
      <c r="AY213">
        <v>2</v>
      </c>
      <c r="AZ213">
        <v>2</v>
      </c>
      <c r="BA213">
        <f>IF(Wycena!$C$16=78,Mapping!AY213,AZ213)</f>
        <v>2</v>
      </c>
    </row>
    <row r="214" spans="25:53" x14ac:dyDescent="0.35">
      <c r="Y214" t="s">
        <v>756</v>
      </c>
      <c r="Z214">
        <v>500</v>
      </c>
      <c r="AA214" t="str">
        <f t="shared" si="17"/>
        <v>RAL 8025</v>
      </c>
      <c r="AB214" t="str">
        <f>IF((VLOOKUP(Wycena!$C$7,Mapping!$Q$15:$R$20,2,0))="tak","",AA214)</f>
        <v>RAL 8025</v>
      </c>
      <c r="AC214" t="e" cm="1">
        <f t="array" ref="AC214">IF(ROWS($AB$3:AB214)&gt;(ROWS($AB$3:$AB$229)-COUNTBLANK($AB$3:$AB$229)),"",INDEX($AB$3:$AB$229,SMALL(IF($AB$3:$AB$229&lt;&gt;"",ROW($AB$3:$AB$229)-2),ROWS($AB$3:AB214))))</f>
        <v>#N/A</v>
      </c>
      <c r="AX214">
        <v>284</v>
      </c>
      <c r="AY214">
        <v>2</v>
      </c>
      <c r="AZ214">
        <v>2</v>
      </c>
      <c r="BA214">
        <f>IF(Wycena!$C$16=78,Mapping!AY214,AZ214)</f>
        <v>2</v>
      </c>
    </row>
    <row r="215" spans="25:53" x14ac:dyDescent="0.35">
      <c r="Y215" t="s">
        <v>757</v>
      </c>
      <c r="Z215">
        <v>500</v>
      </c>
      <c r="AA215" t="str">
        <f t="shared" si="17"/>
        <v>RAL 8028</v>
      </c>
      <c r="AB215" t="str">
        <f>IF((VLOOKUP(Wycena!$C$7,Mapping!$Q$15:$R$20,2,0))="tak","",AA215)</f>
        <v>RAL 8028</v>
      </c>
      <c r="AC215" t="e" cm="1">
        <f t="array" ref="AC215">IF(ROWS($AB$3:AB215)&gt;(ROWS($AB$3:$AB$229)-COUNTBLANK($AB$3:$AB$229)),"",INDEX($AB$3:$AB$229,SMALL(IF($AB$3:$AB$229&lt;&gt;"",ROW($AB$3:$AB$229)-2),ROWS($AB$3:AB215))))</f>
        <v>#N/A</v>
      </c>
      <c r="AX215">
        <v>285</v>
      </c>
      <c r="AY215">
        <v>2</v>
      </c>
      <c r="AZ215">
        <v>2</v>
      </c>
      <c r="BA215">
        <f>IF(Wycena!$C$16=78,Mapping!AY215,AZ215)</f>
        <v>2</v>
      </c>
    </row>
    <row r="216" spans="25:53" x14ac:dyDescent="0.35">
      <c r="Y216" t="s">
        <v>758</v>
      </c>
      <c r="Z216">
        <v>500</v>
      </c>
      <c r="AA216" t="str">
        <f t="shared" si="17"/>
        <v>RAL 8029</v>
      </c>
      <c r="AB216" t="str">
        <f>IF((VLOOKUP(Wycena!$C$7,Mapping!$Q$15:$R$20,2,0))="tak","",AA216)</f>
        <v>RAL 8029</v>
      </c>
      <c r="AC216" t="e" cm="1">
        <f t="array" ref="AC216">IF(ROWS($AB$3:AB216)&gt;(ROWS($AB$3:$AB$229)-COUNTBLANK($AB$3:$AB$229)),"",INDEX($AB$3:$AB$229,SMALL(IF($AB$3:$AB$229&lt;&gt;"",ROW($AB$3:$AB$229)-2),ROWS($AB$3:AB216))))</f>
        <v>#N/A</v>
      </c>
      <c r="AX216">
        <v>286</v>
      </c>
      <c r="AY216">
        <v>2</v>
      </c>
      <c r="AZ216">
        <v>2</v>
      </c>
      <c r="BA216">
        <f>IF(Wycena!$C$16=78,Mapping!AY216,AZ216)</f>
        <v>2</v>
      </c>
    </row>
    <row r="217" spans="25:53" x14ac:dyDescent="0.35">
      <c r="Y217" t="s">
        <v>759</v>
      </c>
      <c r="Z217">
        <v>500</v>
      </c>
      <c r="AA217" t="str">
        <f t="shared" si="17"/>
        <v>RAL 9001</v>
      </c>
      <c r="AB217" t="str">
        <f>IF((VLOOKUP(Wycena!$C$7,Mapping!$Q$15:$R$20,2,0))="tak","",AA217)</f>
        <v>RAL 9001</v>
      </c>
      <c r="AC217" t="e" cm="1">
        <f t="array" ref="AC217">IF(ROWS($AB$3:AB217)&gt;(ROWS($AB$3:$AB$229)-COUNTBLANK($AB$3:$AB$229)),"",INDEX($AB$3:$AB$229,SMALL(IF($AB$3:$AB$229&lt;&gt;"",ROW($AB$3:$AB$229)-2),ROWS($AB$3:AB217))))</f>
        <v>#N/A</v>
      </c>
      <c r="AX217">
        <v>287</v>
      </c>
      <c r="AY217">
        <v>2</v>
      </c>
      <c r="AZ217">
        <v>2</v>
      </c>
      <c r="BA217">
        <f>IF(Wycena!$C$16=78,Mapping!AY217,AZ217)</f>
        <v>2</v>
      </c>
    </row>
    <row r="218" spans="25:53" x14ac:dyDescent="0.35">
      <c r="Y218" t="s">
        <v>760</v>
      </c>
      <c r="Z218">
        <v>500</v>
      </c>
      <c r="AA218" t="str">
        <f t="shared" si="17"/>
        <v>RAL 9002</v>
      </c>
      <c r="AB218" t="str">
        <f>IF((VLOOKUP(Wycena!$C$7,Mapping!$Q$15:$R$20,2,0))="tak","",AA218)</f>
        <v>RAL 9002</v>
      </c>
      <c r="AC218" t="e" cm="1">
        <f t="array" ref="AC218">IF(ROWS($AB$3:AB218)&gt;(ROWS($AB$3:$AB$229)-COUNTBLANK($AB$3:$AB$229)),"",INDEX($AB$3:$AB$229,SMALL(IF($AB$3:$AB$229&lt;&gt;"",ROW($AB$3:$AB$229)-2),ROWS($AB$3:AB218))))</f>
        <v>#N/A</v>
      </c>
      <c r="AX218">
        <v>288</v>
      </c>
      <c r="AY218">
        <v>2</v>
      </c>
      <c r="AZ218">
        <v>2</v>
      </c>
      <c r="BA218">
        <f>IF(Wycena!$C$16=78,Mapping!AY218,AZ218)</f>
        <v>2</v>
      </c>
    </row>
    <row r="219" spans="25:53" x14ac:dyDescent="0.35">
      <c r="Y219" t="s">
        <v>761</v>
      </c>
      <c r="Z219">
        <v>500</v>
      </c>
      <c r="AA219" t="str">
        <f t="shared" si="17"/>
        <v>RAL 9003</v>
      </c>
      <c r="AB219" t="str">
        <f>IF((VLOOKUP(Wycena!$C$7,Mapping!$Q$15:$R$20,2,0))="tak","",AA219)</f>
        <v>RAL 9003</v>
      </c>
      <c r="AC219" t="e" cm="1">
        <f t="array" ref="AC219">IF(ROWS($AB$3:AB219)&gt;(ROWS($AB$3:$AB$229)-COUNTBLANK($AB$3:$AB$229)),"",INDEX($AB$3:$AB$229,SMALL(IF($AB$3:$AB$229&lt;&gt;"",ROW($AB$3:$AB$229)-2),ROWS($AB$3:AB219))))</f>
        <v>#N/A</v>
      </c>
      <c r="AX219">
        <v>289</v>
      </c>
      <c r="AY219">
        <v>2</v>
      </c>
      <c r="AZ219">
        <v>2</v>
      </c>
      <c r="BA219">
        <f>IF(Wycena!$C$16=78,Mapping!AY219,AZ219)</f>
        <v>2</v>
      </c>
    </row>
    <row r="220" spans="25:53" x14ac:dyDescent="0.35">
      <c r="Y220" t="s">
        <v>762</v>
      </c>
      <c r="Z220">
        <v>500</v>
      </c>
      <c r="AA220" t="str">
        <f t="shared" si="17"/>
        <v>RAL 9004</v>
      </c>
      <c r="AB220" t="str">
        <f>IF((VLOOKUP(Wycena!$C$7,Mapping!$Q$15:$R$20,2,0))="tak","",AA220)</f>
        <v>RAL 9004</v>
      </c>
      <c r="AC220" t="e" cm="1">
        <f t="array" ref="AC220">IF(ROWS($AB$3:AB220)&gt;(ROWS($AB$3:$AB$229)-COUNTBLANK($AB$3:$AB$229)),"",INDEX($AB$3:$AB$229,SMALL(IF($AB$3:$AB$229&lt;&gt;"",ROW($AB$3:$AB$229)-2),ROWS($AB$3:AB220))))</f>
        <v>#N/A</v>
      </c>
      <c r="AX220">
        <v>290</v>
      </c>
      <c r="AY220">
        <v>2</v>
      </c>
      <c r="AZ220">
        <v>2</v>
      </c>
      <c r="BA220">
        <f>IF(Wycena!$C$16=78,Mapping!AY220,AZ220)</f>
        <v>2</v>
      </c>
    </row>
    <row r="221" spans="25:53" x14ac:dyDescent="0.35">
      <c r="Y221" t="s">
        <v>763</v>
      </c>
      <c r="Z221">
        <v>500</v>
      </c>
      <c r="AA221" t="str">
        <f t="shared" si="17"/>
        <v>RAL 9005</v>
      </c>
      <c r="AB221" t="str">
        <f>IF((VLOOKUP(Wycena!$C$7,Mapping!$Q$15:$R$20,2,0))="tak","",AA221)</f>
        <v>RAL 9005</v>
      </c>
      <c r="AC221" t="e" cm="1">
        <f t="array" ref="AC221">IF(ROWS($AB$3:AB221)&gt;(ROWS($AB$3:$AB$229)-COUNTBLANK($AB$3:$AB$229)),"",INDEX($AB$3:$AB$229,SMALL(IF($AB$3:$AB$229&lt;&gt;"",ROW($AB$3:$AB$229)-2),ROWS($AB$3:AB221))))</f>
        <v>#N/A</v>
      </c>
      <c r="AX221">
        <v>291</v>
      </c>
      <c r="AY221">
        <v>2</v>
      </c>
      <c r="AZ221">
        <v>2</v>
      </c>
      <c r="BA221">
        <f>IF(Wycena!$C$16=78,Mapping!AY221,AZ221)</f>
        <v>2</v>
      </c>
    </row>
    <row r="222" spans="25:53" x14ac:dyDescent="0.35">
      <c r="Y222" t="s">
        <v>764</v>
      </c>
      <c r="Z222">
        <v>500</v>
      </c>
      <c r="AA222" t="str">
        <f t="shared" si="17"/>
        <v>RAL 9006</v>
      </c>
      <c r="AB222" t="str">
        <f>IF((VLOOKUP(Wycena!$C$7,Mapping!$Q$15:$R$20,2,0))="tak","",AA222)</f>
        <v>RAL 9006</v>
      </c>
      <c r="AC222" t="e" cm="1">
        <f t="array" ref="AC222">IF(ROWS($AB$3:AB222)&gt;(ROWS($AB$3:$AB$229)-COUNTBLANK($AB$3:$AB$229)),"",INDEX($AB$3:$AB$229,SMALL(IF($AB$3:$AB$229&lt;&gt;"",ROW($AB$3:$AB$229)-2),ROWS($AB$3:AB222))))</f>
        <v>#N/A</v>
      </c>
      <c r="AX222">
        <v>292</v>
      </c>
      <c r="AY222">
        <v>2</v>
      </c>
      <c r="AZ222">
        <v>2</v>
      </c>
      <c r="BA222">
        <f>IF(Wycena!$C$16=78,Mapping!AY222,AZ222)</f>
        <v>2</v>
      </c>
    </row>
    <row r="223" spans="25:53" x14ac:dyDescent="0.35">
      <c r="Y223" t="s">
        <v>765</v>
      </c>
      <c r="Z223">
        <v>500</v>
      </c>
      <c r="AA223" t="str">
        <f t="shared" si="17"/>
        <v>RAL 9007</v>
      </c>
      <c r="AB223" t="str">
        <f>IF((VLOOKUP(Wycena!$C$7,Mapping!$Q$15:$R$20,2,0))="tak","",AA223)</f>
        <v>RAL 9007</v>
      </c>
      <c r="AC223" t="e" cm="1">
        <f t="array" ref="AC223">IF(ROWS($AB$3:AB223)&gt;(ROWS($AB$3:$AB$229)-COUNTBLANK($AB$3:$AB$229)),"",INDEX($AB$3:$AB$229,SMALL(IF($AB$3:$AB$229&lt;&gt;"",ROW($AB$3:$AB$229)-2),ROWS($AB$3:AB223))))</f>
        <v>#N/A</v>
      </c>
      <c r="AX223">
        <v>293</v>
      </c>
      <c r="AY223">
        <v>2</v>
      </c>
      <c r="AZ223">
        <v>2</v>
      </c>
      <c r="BA223">
        <f>IF(Wycena!$C$16=78,Mapping!AY223,AZ223)</f>
        <v>2</v>
      </c>
    </row>
    <row r="224" spans="25:53" x14ac:dyDescent="0.35">
      <c r="Y224" t="s">
        <v>766</v>
      </c>
      <c r="Z224">
        <v>500</v>
      </c>
      <c r="AA224" t="str">
        <f t="shared" si="17"/>
        <v>RAL 9010</v>
      </c>
      <c r="AB224" t="str">
        <f>IF((VLOOKUP(Wycena!$C$7,Mapping!$Q$15:$R$20,2,0))="tak","",AA224)</f>
        <v>RAL 9010</v>
      </c>
      <c r="AC224" t="e" cm="1">
        <f t="array" ref="AC224">IF(ROWS($AB$3:AB224)&gt;(ROWS($AB$3:$AB$229)-COUNTBLANK($AB$3:$AB$229)),"",INDEX($AB$3:$AB$229,SMALL(IF($AB$3:$AB$229&lt;&gt;"",ROW($AB$3:$AB$229)-2),ROWS($AB$3:AB224))))</f>
        <v>#N/A</v>
      </c>
      <c r="AX224">
        <v>294</v>
      </c>
      <c r="AY224">
        <v>2</v>
      </c>
      <c r="AZ224">
        <v>2</v>
      </c>
      <c r="BA224">
        <f>IF(Wycena!$C$16=78,Mapping!AY224,AZ224)</f>
        <v>2</v>
      </c>
    </row>
    <row r="225" spans="25:53" x14ac:dyDescent="0.35">
      <c r="Y225" t="s">
        <v>767</v>
      </c>
      <c r="Z225">
        <v>500</v>
      </c>
      <c r="AA225" t="str">
        <f t="shared" si="17"/>
        <v>RAL 9011</v>
      </c>
      <c r="AB225" t="str">
        <f>IF((VLOOKUP(Wycena!$C$7,Mapping!$Q$15:$R$20,2,0))="tak","",AA225)</f>
        <v>RAL 9011</v>
      </c>
      <c r="AC225" t="e" cm="1">
        <f t="array" ref="AC225">IF(ROWS($AB$3:AB225)&gt;(ROWS($AB$3:$AB$229)-COUNTBLANK($AB$3:$AB$229)),"",INDEX($AB$3:$AB$229,SMALL(IF($AB$3:$AB$229&lt;&gt;"",ROW($AB$3:$AB$229)-2),ROWS($AB$3:AB225))))</f>
        <v>#N/A</v>
      </c>
      <c r="AX225">
        <v>295</v>
      </c>
      <c r="AY225">
        <v>2</v>
      </c>
      <c r="AZ225">
        <v>2</v>
      </c>
      <c r="BA225">
        <f>IF(Wycena!$C$16=78,Mapping!AY225,AZ225)</f>
        <v>2</v>
      </c>
    </row>
    <row r="226" spans="25:53" x14ac:dyDescent="0.35">
      <c r="Y226" t="s">
        <v>768</v>
      </c>
      <c r="Z226">
        <v>500</v>
      </c>
      <c r="AA226" t="str">
        <f t="shared" si="17"/>
        <v>RAL 9017</v>
      </c>
      <c r="AB226" t="str">
        <f>IF((VLOOKUP(Wycena!$C$7,Mapping!$Q$15:$R$20,2,0))="tak","",AA226)</f>
        <v>RAL 9017</v>
      </c>
      <c r="AC226" t="e" cm="1">
        <f t="array" ref="AC226">IF(ROWS($AB$3:AB226)&gt;(ROWS($AB$3:$AB$229)-COUNTBLANK($AB$3:$AB$229)),"",INDEX($AB$3:$AB$229,SMALL(IF($AB$3:$AB$229&lt;&gt;"",ROW($AB$3:$AB$229)-2),ROWS($AB$3:AB226))))</f>
        <v>#N/A</v>
      </c>
      <c r="AX226">
        <v>296</v>
      </c>
      <c r="AY226">
        <v>2</v>
      </c>
      <c r="AZ226">
        <v>2</v>
      </c>
      <c r="BA226">
        <f>IF(Wycena!$C$16=78,Mapping!AY226,AZ226)</f>
        <v>2</v>
      </c>
    </row>
    <row r="227" spans="25:53" x14ac:dyDescent="0.35">
      <c r="Y227" t="s">
        <v>769</v>
      </c>
      <c r="Z227">
        <v>500</v>
      </c>
      <c r="AA227" t="str">
        <f t="shared" si="17"/>
        <v>RAL 9018</v>
      </c>
      <c r="AB227" t="str">
        <f>IF((VLOOKUP(Wycena!$C$7,Mapping!$Q$15:$R$20,2,0))="tak","",AA227)</f>
        <v>RAL 9018</v>
      </c>
      <c r="AC227" t="e" cm="1">
        <f t="array" ref="AC227">IF(ROWS($AB$3:AB227)&gt;(ROWS($AB$3:$AB$229)-COUNTBLANK($AB$3:$AB$229)),"",INDEX($AB$3:$AB$229,SMALL(IF($AB$3:$AB$229&lt;&gt;"",ROW($AB$3:$AB$229)-2),ROWS($AB$3:AB227))))</f>
        <v>#N/A</v>
      </c>
      <c r="AX227">
        <v>297</v>
      </c>
      <c r="AY227">
        <v>2</v>
      </c>
      <c r="AZ227">
        <v>2</v>
      </c>
      <c r="BA227">
        <f>IF(Wycena!$C$16=78,Mapping!AY227,AZ227)</f>
        <v>2</v>
      </c>
    </row>
    <row r="228" spans="25:53" x14ac:dyDescent="0.35">
      <c r="Y228" t="s">
        <v>770</v>
      </c>
      <c r="Z228">
        <v>500</v>
      </c>
      <c r="AA228" t="str">
        <f t="shared" si="17"/>
        <v>RAL 9022</v>
      </c>
      <c r="AB228" t="str">
        <f>IF((VLOOKUP(Wycena!$C$7,Mapping!$Q$15:$R$20,2,0))="tak","",AA228)</f>
        <v>RAL 9022</v>
      </c>
      <c r="AC228" t="e" cm="1">
        <f t="array" ref="AC228">IF(ROWS($AB$3:AB228)&gt;(ROWS($AB$3:$AB$229)-COUNTBLANK($AB$3:$AB$229)),"",INDEX($AB$3:$AB$229,SMALL(IF($AB$3:$AB$229&lt;&gt;"",ROW($AB$3:$AB$229)-2),ROWS($AB$3:AB228))))</f>
        <v>#N/A</v>
      </c>
      <c r="AX228">
        <v>298</v>
      </c>
      <c r="AY228">
        <v>2</v>
      </c>
      <c r="AZ228">
        <v>2</v>
      </c>
      <c r="BA228">
        <f>IF(Wycena!$C$16=78,Mapping!AY228,AZ228)</f>
        <v>2</v>
      </c>
    </row>
    <row r="229" spans="25:53" x14ac:dyDescent="0.35">
      <c r="Y229" t="s">
        <v>771</v>
      </c>
      <c r="Z229">
        <v>500</v>
      </c>
      <c r="AA229" t="str">
        <f t="shared" si="17"/>
        <v>RAL 9023</v>
      </c>
      <c r="AB229" t="str">
        <f>IF((VLOOKUP(Wycena!$C$7,Mapping!$Q$15:$R$20,2,0))="tak","",AA229)</f>
        <v>RAL 9023</v>
      </c>
      <c r="AC229" t="e" cm="1">
        <f t="array" ref="AC229">IF(ROWS($AB$3:AB229)&gt;(ROWS($AB$3:$AB$229)-COUNTBLANK($AB$3:$AB$229)),"",INDEX($AB$3:$AB$229,SMALL(IF($AB$3:$AB$229&lt;&gt;"",ROW($AB$3:$AB$229)-2),ROWS($AB$3:AB229))))</f>
        <v>#N/A</v>
      </c>
      <c r="AX229">
        <v>299</v>
      </c>
      <c r="AY229">
        <v>2</v>
      </c>
      <c r="AZ229">
        <v>2</v>
      </c>
      <c r="BA229">
        <f>IF(Wycena!$C$16=78,Mapping!AY229,AZ229)</f>
        <v>2</v>
      </c>
    </row>
    <row r="230" spans="25:53" x14ac:dyDescent="0.35">
      <c r="AX230">
        <v>300</v>
      </c>
      <c r="AY230">
        <v>2</v>
      </c>
      <c r="AZ230">
        <v>2</v>
      </c>
      <c r="BA230">
        <f>IF(Wycena!$C$16=78,Mapping!AY230,AZ230)</f>
        <v>2</v>
      </c>
    </row>
    <row r="231" spans="25:53" x14ac:dyDescent="0.35">
      <c r="AC231" t="s">
        <v>263</v>
      </c>
    </row>
    <row r="232" spans="25:53" x14ac:dyDescent="0.35">
      <c r="AC232" t="e">
        <f t="array" ref="AC232">$AC$3:INDEX($AC$3:$AC$229,(ROWS($AB$3:$AB$229)-COUNTBLANK($AB$3:$AB$229)))</f>
        <v>#N/A</v>
      </c>
    </row>
  </sheetData>
  <sheetProtection algorithmName="SHA-512" hashValue="p2GGQAg6QYlGKepZpn8V7kIHgPfM/7+pFE6V/JycHRkWJMvH7hHp/RKui41jgcpaMOyO6sB4K2IcsjyjWNx3ZA==" saltValue="JezwEM/Wd0aKePftF/VgUA==" spinCount="100000" sheet="1" objects="1" scenarios="1"/>
  <protectedRanges>
    <protectedRange sqref="BK3 HM10" name="C16C23"/>
    <protectedRange sqref="BK4 BK6 HM11 HM13" name="C16C23_1"/>
    <protectedRange sqref="BK5:BL5 HM12" name="C16C23_2"/>
  </protectedRanges>
  <sortState xmlns:xlrd2="http://schemas.microsoft.com/office/spreadsheetml/2017/richdata2" ref="GA30:GA33">
    <sortCondition ref="GA30:G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Wycena</vt:lpstr>
      <vt:lpstr>SKU</vt:lpstr>
      <vt:lpstr>Mapping</vt:lpstr>
      <vt:lpstr>Adapter</vt:lpstr>
      <vt:lpstr>ListaIloscKolorow</vt:lpstr>
      <vt:lpstr>ListaModele</vt:lpstr>
      <vt:lpstr>Listaopaskawew</vt:lpstr>
      <vt:lpstr>ListaSzerokosc</vt:lpstr>
      <vt:lpstr>ListaWysokosc</vt:lpstr>
      <vt:lpstr>Wycena!Obszar_wydruku</vt:lpstr>
      <vt:lpstr>Zestawyspecjalne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Barański</dc:creator>
  <cp:lastModifiedBy>Biłda Maciej</cp:lastModifiedBy>
  <cp:lastPrinted>2022-06-30T05:26:19Z</cp:lastPrinted>
  <dcterms:created xsi:type="dcterms:W3CDTF">2020-10-07T09:06:52Z</dcterms:created>
  <dcterms:modified xsi:type="dcterms:W3CDTF">2023-06-19T08:43:35Z</dcterms:modified>
</cp:coreProperties>
</file>